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Primary H Drive\Governors\SFVS\"/>
    </mc:Choice>
  </mc:AlternateContent>
  <workbookProtection workbookAlgorithmName="SHA-512" workbookHashValue="WptMz+/ZpA5sZf7Kd4ThyVlmqvA08OVfVcrXkys5uo/zp0hFuhCiNY08xjUEoD2HhCdfaxrplRB4tL+intifnA==" workbookSaltValue="FGLTwhBXOq5zd3yAUUWVWA==" workbookSpinCount="100000" lockStructure="1"/>
  <bookViews>
    <workbookView xWindow="0" yWindow="0" windowWidth="21570" windowHeight="10245" tabRatio="925" activeTab="1"/>
  </bookViews>
  <sheets>
    <sheet name="Introduction and outcomes" sheetId="25" r:id="rId1"/>
    <sheet name="Checklist" sheetId="26" r:id="rId2"/>
    <sheet name="Dashboard" sheetId="23" r:id="rId3"/>
    <sheet name="Optional - input raw data" sheetId="24" r:id="rId4"/>
    <sheet name="RAG rating data for your school" sheetId="19" r:id="rId5"/>
    <sheet name="RAG rating data for all schools" sheetId="20" r:id="rId6"/>
    <sheet name="Calcs" sheetId="22" state="hidden" r:id="rId7"/>
  </sheets>
  <externalReferences>
    <externalReference r:id="rId8"/>
    <externalReference r:id="rId9"/>
    <externalReference r:id="rId10"/>
    <externalReference r:id="rId11"/>
  </externalReferences>
  <definedNames>
    <definedName name="A">Calcs!$C$9:$I$21</definedName>
    <definedName name="Actuaries" localSheetId="0">#REF!</definedName>
    <definedName name="Actuaries">#REF!</definedName>
    <definedName name="APL">'RAG rating data for all schools'!$F$457:$L$468</definedName>
    <definedName name="APNL">'RAG rating data for all schools'!$F$471:$L$482</definedName>
    <definedName name="ATL">'RAG rating data for all schools'!$F$485:$L$497</definedName>
    <definedName name="ATNL">'RAG rating data for all schools'!$F$500:$L$512</definedName>
    <definedName name="Average">Calcs!$B$58</definedName>
    <definedName name="B">Calcs!#REF!</definedName>
    <definedName name="Below">Calcs!$B$57</definedName>
    <definedName name="CC">Calcs!#REF!</definedName>
    <definedName name="Change_type">[1]Lookupsd!$A$4:$A$12</definedName>
    <definedName name="conv_date">[2]Lists!$F$1:$F$50</definedName>
    <definedName name="D">Calcs!#REF!</definedName>
    <definedName name="E">Calcs!#REF!</definedName>
    <definedName name="F">Calcs!#REF!</definedName>
    <definedName name="fedname">[3]Psuedo_WGAlist!$F$1:$L$537</definedName>
    <definedName name="G">Calcs!#REF!</definedName>
    <definedName name="Good">Calcs!$B$53</definedName>
    <definedName name="H">Calcs!#REF!</definedName>
    <definedName name="High">Calcs!$A$53</definedName>
    <definedName name="Higher">Calcs!$B$48</definedName>
    <definedName name="Highest10">Calcs!$A$50</definedName>
    <definedName name="Highest20">Calcs!$A$49</definedName>
    <definedName name="I">Calcs!#REF!</definedName>
    <definedName name="Inadequate">Calcs!$B$51</definedName>
    <definedName name="Inline">Calcs!$A$47</definedName>
    <definedName name="Inline2">Calcs!$B$47</definedName>
    <definedName name="J">Calcs!#REF!</definedName>
    <definedName name="K">Calcs!#REF!</definedName>
    <definedName name="L">Calcs!#REF!</definedName>
    <definedName name="Low">Calcs!$A$55</definedName>
    <definedName name="Lower">Calcs!$B$46</definedName>
    <definedName name="Lowest10">Calcs!$A$45</definedName>
    <definedName name="Lowest20">Calcs!$A$46</definedName>
    <definedName name="M">Calcs!#REF!</definedName>
    <definedName name="Medium">Calcs!$A$54</definedName>
    <definedName name="Middle20">Calcs!$A$48</definedName>
    <definedName name="Muchhigher">Calcs!$B$49</definedName>
    <definedName name="Muchlower">Calcs!$B$45</definedName>
    <definedName name="N">Calcs!#REF!</definedName>
    <definedName name="Name_difference">[4]Lookupsd!$D$4:$D$17</definedName>
    <definedName name="NL">'RAG rating data for all schools'!$F$515:$L$526</definedName>
    <definedName name="NNL">'RAG rating data for all schools'!$F$529:$L$540</definedName>
    <definedName name="O">Calcs!#REF!</definedName>
    <definedName name="Outstanding">Calcs!$B$54</definedName>
    <definedName name="P">Calcs!#REF!</definedName>
    <definedName name="PL">'RAG rating data for all schools'!$F$544:$L$544</definedName>
    <definedName name="PLH">'RAG rating data for all schools'!$F$159:$L$170</definedName>
    <definedName name="PLL">'RAG rating data for all schools'!$F$47:$L$58</definedName>
    <definedName name="PLM">'RAG rating data for all schools'!$F$103:$L$114</definedName>
    <definedName name="PMH">'RAG rating data for all schools'!$F$145:$L$156</definedName>
    <definedName name="PML">'RAG rating data for all schools'!$F$33:$L$44</definedName>
    <definedName name="PMM">'RAG rating data for all schools'!$F$89:$L$100</definedName>
    <definedName name="PNL">'RAG rating data for all schools'!$F$547:$L$547</definedName>
    <definedName name="_xlnm.Print_Area" localSheetId="1">Checklist!$B$2:$V$63</definedName>
    <definedName name="_xlnm.Print_Area" localSheetId="2">Dashboard!$B$2:$J$73</definedName>
    <definedName name="_xlnm.Print_Area" localSheetId="0">'Introduction and outcomes'!$B$2:$U$22</definedName>
    <definedName name="_xlnm.Print_Area" localSheetId="3">'Optional - input raw data'!$B$2:$G$56</definedName>
    <definedName name="PSH">'RAG rating data for all schools'!$F$131:$L$142</definedName>
    <definedName name="PSL">'RAG rating data for all schools'!$F$19:$L$30</definedName>
    <definedName name="PSM">'RAG rating data for all schools'!$F$75:$L$86</definedName>
    <definedName name="PVSH">'RAG rating data for all schools'!$F$117:$L$128</definedName>
    <definedName name="PVSL">'RAG rating data for all schools'!$F$5:$L$16</definedName>
    <definedName name="PVSM">'RAG rating data for all schools'!$F$61:$L$72</definedName>
    <definedName name="Q">Calcs!#REF!</definedName>
    <definedName name="RI">Calcs!$B$52</definedName>
    <definedName name="RR">Calcs!#REF!</definedName>
    <definedName name="S">Calcs!#REF!</definedName>
    <definedName name="SL">'RAG rating data for all schools'!$F$556:$L$556</definedName>
    <definedName name="SLH">'RAG rating data for all schools'!$F$413:$L$424</definedName>
    <definedName name="SLL">'RAG rating data for all schools'!$F$245:$L$256</definedName>
    <definedName name="SLM">'RAG rating data for all schools'!$F$329:$L$340</definedName>
    <definedName name="SMH">'RAG rating data for all schools'!$F$399:$L$410</definedName>
    <definedName name="SML">'RAG rating data for all schools'!$F$231:$L$242</definedName>
    <definedName name="SMM">'RAG rating data for all schools'!$F$315:$L$326</definedName>
    <definedName name="SNL">'RAG rating data for all schools'!$F$559:$L$559</definedName>
    <definedName name="SPL">'RAG rating data for all schools'!$F$429:$L$440</definedName>
    <definedName name="SPNL">'RAG rating data for all schools'!$F$443:$L$454</definedName>
    <definedName name="SSH">'RAG rating data for all schools'!$F$385:$L$396</definedName>
    <definedName name="SSL">'RAG rating data for all schools'!$F$217:$L$228</definedName>
    <definedName name="SSLH">'RAG rating data for all schools'!$F$371:$L$382</definedName>
    <definedName name="SSLL">'RAG rating data for all schools'!$F$203:$L$214</definedName>
    <definedName name="SSLM">'RAG rating data for all schools'!$F$287:$L$298</definedName>
    <definedName name="SSLo">'RAG rating data for all schools'!$F$550:$L$550</definedName>
    <definedName name="SSM">'RAG rating data for all schools'!$F$301:$L$312</definedName>
    <definedName name="SSMH">'RAG rating data for all schools'!$F$357:$L$368</definedName>
    <definedName name="SSML">'RAG rating data for all schools'!$F$189:$L$200</definedName>
    <definedName name="SSMM">'RAG rating data for all schools'!$F$273:$L$284</definedName>
    <definedName name="SSNL">'RAG rating data for all schools'!$F$553:$L$553</definedName>
    <definedName name="SSSH">'RAG rating data for all schools'!$F$343:$L$354</definedName>
    <definedName name="SSSL">'RAG rating data for all schools'!$F$175:$L$186</definedName>
    <definedName name="SSSM">'RAG rating data for all schools'!$F$259:$L$270</definedName>
    <definedName name="T">Calcs!#REF!</definedName>
    <definedName name="Wellabove">Calcs!$B$59</definedName>
    <definedName name="Wellbelow">Calcs!$B$56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1" i="23" l="1"/>
  <c r="G47" i="23" l="1"/>
  <c r="G48" i="23"/>
  <c r="G49" i="23"/>
  <c r="G50" i="23"/>
  <c r="I51" i="23"/>
  <c r="I52" i="23"/>
  <c r="G43" i="23" l="1"/>
  <c r="G42" i="23"/>
  <c r="G38" i="23"/>
  <c r="G37" i="23"/>
  <c r="G36" i="23"/>
  <c r="G35" i="23"/>
  <c r="G34" i="23"/>
  <c r="G33" i="23"/>
  <c r="G32" i="23"/>
  <c r="G31" i="23"/>
  <c r="G30" i="23"/>
  <c r="G39" i="23" l="1"/>
  <c r="Q83" i="19"/>
  <c r="L83" i="19"/>
  <c r="G83" i="19"/>
  <c r="D83" i="19"/>
  <c r="M71" i="19"/>
  <c r="J71" i="19"/>
  <c r="H71" i="19"/>
  <c r="E71" i="19"/>
  <c r="M48" i="19"/>
  <c r="J48" i="19"/>
  <c r="H48" i="19"/>
  <c r="E48" i="19"/>
  <c r="M45" i="19"/>
  <c r="J45" i="19"/>
  <c r="H45" i="19"/>
  <c r="E45" i="19"/>
  <c r="M59" i="26"/>
  <c r="M50" i="26"/>
  <c r="M35" i="26"/>
  <c r="M41" i="26" s="1"/>
  <c r="M21" i="26"/>
  <c r="M27" i="26" s="1"/>
  <c r="A29" i="22" l="1"/>
  <c r="A66" i="22" l="1"/>
  <c r="Z35" i="22" l="1"/>
  <c r="I69" i="19" l="1"/>
  <c r="Z36" i="22"/>
  <c r="AA36" i="22"/>
  <c r="Z37" i="22"/>
  <c r="AA37" i="22"/>
  <c r="AA35" i="22"/>
  <c r="C5" i="22" l="1"/>
  <c r="H29" i="22" l="1"/>
  <c r="G29" i="22"/>
  <c r="F29" i="22"/>
  <c r="I29" i="22" s="1"/>
  <c r="E29" i="22"/>
  <c r="B4" i="19" l="1"/>
  <c r="C24" i="23"/>
  <c r="C7" i="22"/>
  <c r="L29" i="22"/>
  <c r="B3" i="19" s="1"/>
  <c r="J29" i="22"/>
  <c r="M29" i="22" s="1"/>
  <c r="K29" i="22"/>
  <c r="C23" i="23" s="1"/>
  <c r="N29" i="22" l="1"/>
  <c r="B6" i="19" s="1"/>
  <c r="J69" i="19"/>
  <c r="M68" i="19"/>
  <c r="H68" i="19"/>
  <c r="B5" i="19"/>
  <c r="J68" i="19"/>
  <c r="E68" i="19"/>
  <c r="O68" i="19"/>
  <c r="E69" i="19"/>
  <c r="H69" i="19"/>
  <c r="C6" i="22"/>
  <c r="I42" i="23"/>
  <c r="I61" i="23"/>
  <c r="I60" i="23"/>
  <c r="I59" i="23"/>
  <c r="I58" i="23"/>
  <c r="I57" i="23"/>
  <c r="I43" i="23" l="1"/>
  <c r="I38" i="23"/>
  <c r="D20" i="24" l="1"/>
  <c r="B88" i="19" l="1"/>
  <c r="B94" i="19"/>
  <c r="B85" i="19"/>
  <c r="B74" i="19"/>
  <c r="B68" i="19"/>
  <c r="B91" i="19"/>
  <c r="M85" i="19" l="1"/>
  <c r="J85" i="19"/>
  <c r="E85" i="19"/>
  <c r="R85" i="19"/>
  <c r="H85" i="19"/>
  <c r="O85" i="19"/>
  <c r="M91" i="19"/>
  <c r="J91" i="19"/>
  <c r="E91" i="19"/>
  <c r="R91" i="19"/>
  <c r="H91" i="19"/>
  <c r="O91" i="19"/>
  <c r="R94" i="19"/>
  <c r="H94" i="19"/>
  <c r="J94" i="19"/>
  <c r="O94" i="19"/>
  <c r="E94" i="19"/>
  <c r="M94" i="19"/>
  <c r="R88" i="19"/>
  <c r="H88" i="19"/>
  <c r="O88" i="19"/>
  <c r="E88" i="19"/>
  <c r="J88" i="19"/>
  <c r="M88" i="19"/>
  <c r="Q74" i="19"/>
  <c r="I74" i="19"/>
  <c r="I75" i="19"/>
  <c r="L75" i="19"/>
  <c r="S74" i="19"/>
  <c r="L74" i="19"/>
  <c r="N75" i="19"/>
  <c r="G74" i="19"/>
  <c r="G75" i="19"/>
  <c r="N74" i="19"/>
  <c r="N94" i="19" l="1"/>
  <c r="I94" i="19"/>
  <c r="I91" i="19"/>
  <c r="N88" i="19"/>
  <c r="Q85" i="19"/>
  <c r="N91" i="19" l="1"/>
  <c r="I68" i="19"/>
  <c r="D91" i="19"/>
  <c r="G88" i="19"/>
  <c r="I88" i="19"/>
  <c r="G69" i="19"/>
  <c r="D88" i="19"/>
  <c r="Q88" i="19"/>
  <c r="D68" i="19"/>
  <c r="L88" i="19"/>
  <c r="D94" i="19"/>
  <c r="D74" i="19"/>
  <c r="G68" i="19"/>
  <c r="N68" i="19" s="1"/>
  <c r="L68" i="19"/>
  <c r="D69" i="19"/>
  <c r="D75" i="19"/>
  <c r="D85" i="19"/>
  <c r="I85" i="19"/>
  <c r="N85" i="19"/>
  <c r="G91" i="19"/>
  <c r="L91" i="19"/>
  <c r="Q91" i="19"/>
  <c r="G94" i="19"/>
  <c r="L94" i="19"/>
  <c r="Q94" i="19"/>
  <c r="G85" i="19"/>
  <c r="L85" i="19"/>
  <c r="H17" i="22"/>
  <c r="H21" i="22"/>
  <c r="I14" i="22"/>
  <c r="C15" i="22"/>
  <c r="E20" i="22"/>
  <c r="E15" i="22"/>
  <c r="E18" i="22"/>
  <c r="F10" i="22"/>
  <c r="H13" i="22"/>
  <c r="G20" i="22"/>
  <c r="C20" i="22"/>
  <c r="F11" i="22"/>
  <c r="F12" i="22"/>
  <c r="H14" i="22"/>
  <c r="C9" i="22"/>
  <c r="H20" i="22"/>
  <c r="H12" i="22"/>
  <c r="H18" i="22"/>
  <c r="G19" i="22"/>
  <c r="I10" i="22"/>
  <c r="E11" i="22"/>
  <c r="H57" i="19"/>
  <c r="C18" i="22"/>
  <c r="E19" i="22"/>
  <c r="F15" i="22"/>
  <c r="G15" i="22"/>
  <c r="E21" i="22"/>
  <c r="H28" i="19"/>
  <c r="I9" i="22"/>
  <c r="F17" i="22"/>
  <c r="O63" i="19"/>
  <c r="H10" i="22"/>
  <c r="E9" i="22"/>
  <c r="I12" i="22"/>
  <c r="F18" i="22"/>
  <c r="E31" i="19"/>
  <c r="D19" i="22"/>
  <c r="F19" i="22"/>
  <c r="H11" i="22"/>
  <c r="E10" i="22"/>
  <c r="R19" i="19" s="1"/>
  <c r="G18" i="22"/>
  <c r="M63" i="19" s="1"/>
  <c r="C19" i="22"/>
  <c r="T62" i="19"/>
  <c r="I16" i="22"/>
  <c r="D20" i="22"/>
  <c r="D21" i="22"/>
  <c r="H22" i="19"/>
  <c r="G21" i="22"/>
  <c r="I20" i="22"/>
  <c r="H19" i="22"/>
  <c r="D18" i="22"/>
  <c r="M57" i="19"/>
  <c r="G11" i="22"/>
  <c r="F9" i="22"/>
  <c r="D9" i="22"/>
  <c r="M22" i="19"/>
  <c r="H25" i="19"/>
  <c r="H16" i="22"/>
  <c r="G17" i="22"/>
  <c r="T59" i="19" s="1"/>
  <c r="I19" i="22"/>
  <c r="J66" i="19" s="1"/>
  <c r="I17" i="22"/>
  <c r="F13" i="22"/>
  <c r="J74" i="19"/>
  <c r="I21" i="22"/>
  <c r="H9" i="22"/>
  <c r="I18" i="22"/>
  <c r="E17" i="22"/>
  <c r="F21" i="22"/>
  <c r="I13" i="22"/>
  <c r="G10" i="22"/>
  <c r="O22" i="19"/>
  <c r="O59" i="19"/>
  <c r="E62" i="19"/>
  <c r="F20" i="22"/>
  <c r="F16" i="22"/>
  <c r="I11" i="22"/>
  <c r="C21" i="22"/>
  <c r="E56" i="19" s="1"/>
  <c r="D15" i="22"/>
  <c r="G9" i="22"/>
  <c r="F14" i="22"/>
  <c r="M31" i="19"/>
  <c r="H56" i="19"/>
  <c r="I53" i="23" l="1"/>
  <c r="I49" i="23"/>
  <c r="I48" i="23"/>
  <c r="I30" i="23"/>
  <c r="I34" i="23"/>
  <c r="I32" i="23"/>
  <c r="I37" i="23"/>
  <c r="I33" i="23"/>
  <c r="I35" i="23"/>
  <c r="I50" i="23"/>
  <c r="I31" i="23"/>
  <c r="I36" i="23"/>
  <c r="I47" i="23"/>
  <c r="T16" i="19"/>
  <c r="H19" i="19"/>
  <c r="M23" i="19"/>
  <c r="M60" i="19"/>
  <c r="H66" i="19"/>
  <c r="M25" i="19"/>
  <c r="E66" i="19"/>
  <c r="J75" i="19"/>
  <c r="M16" i="19"/>
  <c r="J22" i="19"/>
  <c r="J37" i="19"/>
  <c r="H34" i="19"/>
  <c r="E63" i="19"/>
  <c r="R62" i="19"/>
  <c r="J19" i="19"/>
  <c r="M74" i="19"/>
  <c r="H16" i="19"/>
  <c r="O19" i="19"/>
  <c r="O17" i="19"/>
  <c r="M20" i="19"/>
  <c r="E37" i="19"/>
  <c r="R59" i="19"/>
  <c r="R74" i="19"/>
  <c r="E22" i="19"/>
  <c r="M35" i="19"/>
  <c r="M75" i="19"/>
  <c r="E59" i="19"/>
  <c r="J63" i="19"/>
  <c r="R34" i="19"/>
  <c r="T74" i="19"/>
  <c r="E75" i="19"/>
  <c r="O57" i="19"/>
  <c r="T22" i="19"/>
  <c r="J16" i="19"/>
  <c r="O34" i="19"/>
  <c r="J28" i="19"/>
  <c r="O56" i="19"/>
  <c r="E57" i="19"/>
  <c r="E34" i="19"/>
  <c r="O65" i="19"/>
  <c r="M17" i="19"/>
  <c r="J17" i="19"/>
  <c r="H63" i="19"/>
  <c r="J62" i="19"/>
  <c r="M37" i="19"/>
  <c r="H62" i="19"/>
  <c r="M66" i="19"/>
  <c r="J34" i="19"/>
  <c r="H17" i="19"/>
  <c r="M28" i="19"/>
  <c r="E17" i="19"/>
  <c r="O62" i="19"/>
  <c r="J57" i="19"/>
  <c r="T56" i="19"/>
  <c r="T65" i="19"/>
  <c r="R22" i="19"/>
  <c r="R65" i="19"/>
  <c r="H65" i="19"/>
  <c r="M56" i="19"/>
  <c r="E16" i="19"/>
  <c r="E65" i="19"/>
  <c r="J25" i="19"/>
  <c r="H74" i="19"/>
  <c r="M34" i="19"/>
  <c r="M59" i="19"/>
  <c r="E25" i="19"/>
  <c r="E74" i="19"/>
  <c r="R16" i="19"/>
  <c r="M19" i="19"/>
  <c r="H31" i="19"/>
  <c r="J65" i="19"/>
  <c r="H37" i="19"/>
  <c r="O75" i="19"/>
  <c r="J31" i="19"/>
  <c r="T19" i="19"/>
  <c r="M65" i="19"/>
  <c r="R56" i="19"/>
  <c r="O16" i="19"/>
  <c r="J59" i="19"/>
  <c r="H75" i="19"/>
  <c r="O74" i="19"/>
  <c r="O66" i="19"/>
  <c r="T34" i="19"/>
  <c r="M62" i="19"/>
  <c r="E28" i="19"/>
  <c r="J56" i="19"/>
  <c r="H59" i="19"/>
  <c r="E19" i="19"/>
</calcChain>
</file>

<file path=xl/sharedStrings.xml><?xml version="1.0" encoding="utf-8"?>
<sst xmlns="http://schemas.openxmlformats.org/spreadsheetml/2006/main" count="2472" uniqueCount="381">
  <si>
    <t>Average class size</t>
  </si>
  <si>
    <t>Energy</t>
  </si>
  <si>
    <t>Teaching staff</t>
  </si>
  <si>
    <t>Education support staff</t>
  </si>
  <si>
    <t>Pupil to teacher ratio</t>
  </si>
  <si>
    <t>Administrative and clerical staff</t>
  </si>
  <si>
    <t>School name:</t>
  </si>
  <si>
    <t>Ofsted rating</t>
  </si>
  <si>
    <t>Progress 8 score</t>
  </si>
  <si>
    <t>Progress score in reading</t>
  </si>
  <si>
    <t>Progress score in writing</t>
  </si>
  <si>
    <t>Progress score in maths</t>
  </si>
  <si>
    <t>A. Governance</t>
  </si>
  <si>
    <t>Comments, evidence and proposed actions</t>
  </si>
  <si>
    <t>Pupil to adult ratio</t>
  </si>
  <si>
    <t>Inadequate</t>
  </si>
  <si>
    <t>Phase</t>
  </si>
  <si>
    <t>Phase:</t>
  </si>
  <si>
    <t>Region:</t>
  </si>
  <si>
    <t>Number of pupils:</t>
  </si>
  <si>
    <t>FSM</t>
  </si>
  <si>
    <t>Primary</t>
  </si>
  <si>
    <t>All-through</t>
  </si>
  <si>
    <t>Rating against
thresholds</t>
  </si>
  <si>
    <r>
      <t xml:space="preserve">Spend on </t>
    </r>
    <r>
      <rPr>
        <b/>
        <sz val="12"/>
        <color theme="1"/>
        <rFont val="Arial"/>
        <family val="2"/>
      </rPr>
      <t>teaching staff</t>
    </r>
    <r>
      <rPr>
        <sz val="12"/>
        <color theme="1"/>
        <rFont val="Arial"/>
        <family val="2"/>
      </rPr>
      <t xml:space="preserve"> as a percentage of total expenditure</t>
    </r>
  </si>
  <si>
    <r>
      <t xml:space="preserve">Spend on </t>
    </r>
    <r>
      <rPr>
        <b/>
        <sz val="12"/>
        <color theme="1"/>
        <rFont val="Arial"/>
        <family val="2"/>
      </rPr>
      <t>supply staff</t>
    </r>
    <r>
      <rPr>
        <sz val="12"/>
        <color theme="1"/>
        <rFont val="Arial"/>
        <family val="2"/>
      </rPr>
      <t xml:space="preserve"> as a percentage of total expenditure</t>
    </r>
  </si>
  <si>
    <r>
      <t xml:space="preserve">Spend on </t>
    </r>
    <r>
      <rPr>
        <b/>
        <sz val="12"/>
        <color theme="1"/>
        <rFont val="Arial"/>
        <family val="2"/>
      </rPr>
      <t>education support staff</t>
    </r>
    <r>
      <rPr>
        <sz val="12"/>
        <color theme="1"/>
        <rFont val="Arial"/>
        <family val="2"/>
      </rPr>
      <t xml:space="preserve"> as a percentage of total expenditure</t>
    </r>
  </si>
  <si>
    <r>
      <t xml:space="preserve">Spend on </t>
    </r>
    <r>
      <rPr>
        <b/>
        <sz val="12"/>
        <color theme="1"/>
        <rFont val="Arial"/>
        <family val="2"/>
      </rPr>
      <t>administrative and clerical staff</t>
    </r>
    <r>
      <rPr>
        <sz val="12"/>
        <color theme="1"/>
        <rFont val="Arial"/>
        <family val="2"/>
      </rPr>
      <t xml:space="preserve"> as a percentage of total expenditure</t>
    </r>
  </si>
  <si>
    <r>
      <t xml:space="preserve">Spend on </t>
    </r>
    <r>
      <rPr>
        <b/>
        <sz val="12"/>
        <color theme="1"/>
        <rFont val="Arial"/>
        <family val="2"/>
      </rPr>
      <t>other staff costs</t>
    </r>
    <r>
      <rPr>
        <sz val="12"/>
        <color theme="1"/>
        <rFont val="Arial"/>
        <family val="2"/>
      </rPr>
      <t xml:space="preserve"> as a percentage of total expenditure</t>
    </r>
  </si>
  <si>
    <r>
      <t xml:space="preserve">Spend on </t>
    </r>
    <r>
      <rPr>
        <b/>
        <sz val="12"/>
        <color theme="1"/>
        <rFont val="Arial"/>
        <family val="2"/>
      </rPr>
      <t>premises (including staff costs)</t>
    </r>
    <r>
      <rPr>
        <sz val="12"/>
        <color theme="1"/>
        <rFont val="Arial"/>
        <family val="2"/>
      </rPr>
      <t xml:space="preserve"> as a percentage of total expenditure</t>
    </r>
  </si>
  <si>
    <t>Other spending as a percentage of total expenditure (balancing line)</t>
  </si>
  <si>
    <r>
      <t xml:space="preserve">Spend on </t>
    </r>
    <r>
      <rPr>
        <b/>
        <sz val="12"/>
        <color theme="1"/>
        <rFont val="Arial"/>
        <family val="2"/>
      </rPr>
      <t>energy</t>
    </r>
    <r>
      <rPr>
        <sz val="12"/>
        <color theme="1"/>
        <rFont val="Arial"/>
        <family val="2"/>
      </rPr>
      <t xml:space="preserve"> as a percentage of total expenditure</t>
    </r>
  </si>
  <si>
    <r>
      <t xml:space="preserve">In-year balance as a percentage of </t>
    </r>
    <r>
      <rPr>
        <sz val="12"/>
        <rFont val="Arial"/>
        <family val="2"/>
      </rPr>
      <t>total income</t>
    </r>
  </si>
  <si>
    <t>Average teacher cost (£)</t>
  </si>
  <si>
    <t>Senior leaders as a percentage of workforce</t>
  </si>
  <si>
    <t>Teacher contact ratio (less than 1.0)</t>
  </si>
  <si>
    <t>Predicted percentage pupil number change in 3-5 years</t>
  </si>
  <si>
    <t>Answer</t>
  </si>
  <si>
    <t>Middle 20% of similar schools</t>
  </si>
  <si>
    <t>Lowest 10% of similar schools</t>
  </si>
  <si>
    <t>Lowest 20% of similar schools</t>
  </si>
  <si>
    <t>Highest 20% of similar schools</t>
  </si>
  <si>
    <t>Highest 10% of similar schools</t>
  </si>
  <si>
    <t>Well below average</t>
  </si>
  <si>
    <t>Below average</t>
  </si>
  <si>
    <t>Well above average</t>
  </si>
  <si>
    <t>Lower than recommended</t>
  </si>
  <si>
    <t>Much lower than recommended</t>
  </si>
  <si>
    <t>Higher than recommended</t>
  </si>
  <si>
    <t>Much higher than recommended</t>
  </si>
  <si>
    <t>Average or above average</t>
  </si>
  <si>
    <t>Are there adequate arrangements in place to manage conflicts of interest or any related party transactions?</t>
  </si>
  <si>
    <t>C. Reserves / balances as a percentage of total income</t>
  </si>
  <si>
    <t>D. School characteristics</t>
  </si>
  <si>
    <t>E. Outcomes</t>
  </si>
  <si>
    <t xml:space="preserve">
[enter text]</t>
  </si>
  <si>
    <t>Signature:</t>
  </si>
  <si>
    <r>
      <t>Spend on</t>
    </r>
    <r>
      <rPr>
        <b/>
        <sz val="12"/>
        <color theme="1"/>
        <rFont val="Arial"/>
        <family val="2"/>
      </rPr>
      <t xml:space="preserve"> teaching resources</t>
    </r>
    <r>
      <rPr>
        <sz val="12"/>
        <color theme="1"/>
        <rFont val="Arial"/>
        <family val="2"/>
      </rPr>
      <t xml:space="preserve"> as a percentage of total expenditure</t>
    </r>
  </si>
  <si>
    <r>
      <t xml:space="preserve">Revenue reserve as a percentage of </t>
    </r>
    <r>
      <rPr>
        <sz val="12"/>
        <rFont val="Arial"/>
        <family val="2"/>
      </rPr>
      <t>total income</t>
    </r>
  </si>
  <si>
    <t>Full name of signatory:</t>
  </si>
  <si>
    <t>Guidance</t>
  </si>
  <si>
    <t>F: Optional commentary</t>
  </si>
  <si>
    <t>Total expenditure</t>
  </si>
  <si>
    <t>Examination fees</t>
  </si>
  <si>
    <t>Supply teaching staff</t>
  </si>
  <si>
    <t>Premises staff</t>
  </si>
  <si>
    <t>Catering staff</t>
  </si>
  <si>
    <t>Cost of other staff</t>
  </si>
  <si>
    <t>Indirect employee expenses</t>
  </si>
  <si>
    <t>Staff development and training</t>
  </si>
  <si>
    <t>E10</t>
  </si>
  <si>
    <t>Supply teacher insurance</t>
  </si>
  <si>
    <t>E11</t>
  </si>
  <si>
    <t>Staff-related insurance</t>
  </si>
  <si>
    <t>E13</t>
  </si>
  <si>
    <t>E14</t>
  </si>
  <si>
    <t>Cleaning and caretaking</t>
  </si>
  <si>
    <t>E15</t>
  </si>
  <si>
    <t>Water and sewerage</t>
  </si>
  <si>
    <t>E16</t>
  </si>
  <si>
    <t>E17</t>
  </si>
  <si>
    <t>E18</t>
  </si>
  <si>
    <t>Other occupation costs</t>
  </si>
  <si>
    <t>E19</t>
  </si>
  <si>
    <t>E21</t>
  </si>
  <si>
    <t>E22</t>
  </si>
  <si>
    <t>E23</t>
  </si>
  <si>
    <t>Other insurance premiums</t>
  </si>
  <si>
    <t>E24</t>
  </si>
  <si>
    <t>Special facilities</t>
  </si>
  <si>
    <t>E25</t>
  </si>
  <si>
    <t>Catering supplies</t>
  </si>
  <si>
    <t>E26</t>
  </si>
  <si>
    <t>Agency supply teaching staff</t>
  </si>
  <si>
    <t>E28</t>
  </si>
  <si>
    <t>E29</t>
  </si>
  <si>
    <t>E30</t>
  </si>
  <si>
    <t>E31</t>
  </si>
  <si>
    <t>E32</t>
  </si>
  <si>
    <t>Total income</t>
  </si>
  <si>
    <t>Full time equivalent of teachers in the leadership group</t>
  </si>
  <si>
    <t>Full time equivalent of total school workforce</t>
  </si>
  <si>
    <t>Revenue balances (committed and uncommitted)</t>
  </si>
  <si>
    <t>Raw data form</t>
  </si>
  <si>
    <t>Spend on teaching staff as a percentage of total expenditure</t>
  </si>
  <si>
    <t>Spend on supply staff as a percentage of total expenditure</t>
  </si>
  <si>
    <t>Spend on education support staff as a percentage of total expenditure</t>
  </si>
  <si>
    <t>Spend on administrative and clerical staff as a percentage of total expenditure</t>
  </si>
  <si>
    <t>Spend on other staff costs as a percentage of total expenditure</t>
  </si>
  <si>
    <t>Spend on premises (including staff costs) as a percentage of total expenditure</t>
  </si>
  <si>
    <t>Spend on teaching resources as a percentage of total expenditure</t>
  </si>
  <si>
    <t>Spend on energy as a percentage of total expenditure</t>
  </si>
  <si>
    <t>In-year balance as a percentage of total income</t>
  </si>
  <si>
    <t>Revenue reserve as a percentage of total income</t>
  </si>
  <si>
    <t>Red rating</t>
  </si>
  <si>
    <t>Less than or equal to</t>
  </si>
  <si>
    <t>Amber rating</t>
  </si>
  <si>
    <t>Between</t>
  </si>
  <si>
    <t>and</t>
  </si>
  <si>
    <t>Or between</t>
  </si>
  <si>
    <t xml:space="preserve">Or more than </t>
  </si>
  <si>
    <t>Light green rating</t>
  </si>
  <si>
    <t>Dark green rating</t>
  </si>
  <si>
    <t>More than</t>
  </si>
  <si>
    <t>Or less than or equal to</t>
  </si>
  <si>
    <t>Or more than</t>
  </si>
  <si>
    <t>B. Your spending as a percentage of expenditure</t>
  </si>
  <si>
    <t>Good</t>
  </si>
  <si>
    <t>Your school has been identified as:</t>
  </si>
  <si>
    <t>Size</t>
  </si>
  <si>
    <t>School is rated</t>
  </si>
  <si>
    <t>Secondary with sixth form</t>
  </si>
  <si>
    <t>Secondary without sixth form</t>
  </si>
  <si>
    <t>Special</t>
  </si>
  <si>
    <t>Alternative provision</t>
  </si>
  <si>
    <t>The thresholds for the RAG ratings are based on these characteristics and are:</t>
  </si>
  <si>
    <t>Very small</t>
  </si>
  <si>
    <t>Low FSM</t>
  </si>
  <si>
    <t>Small</t>
  </si>
  <si>
    <t>Medium</t>
  </si>
  <si>
    <t>Large</t>
  </si>
  <si>
    <t>Medium FSM</t>
  </si>
  <si>
    <t>High FSM</t>
  </si>
  <si>
    <t>London</t>
  </si>
  <si>
    <t>Non-London</t>
  </si>
  <si>
    <t>Nursery</t>
  </si>
  <si>
    <t>Sample size</t>
  </si>
  <si>
    <t>London?</t>
  </si>
  <si>
    <t>Note: all but average teacher cost are the same for type of school, despite the location</t>
  </si>
  <si>
    <t>Red if less than:</t>
  </si>
  <si>
    <t>Amber if less than:</t>
  </si>
  <si>
    <t>Dark green if between:</t>
  </si>
  <si>
    <t>Amber if more than:</t>
  </si>
  <si>
    <t>Red if more than:</t>
  </si>
  <si>
    <t>Light green for everything else</t>
  </si>
  <si>
    <t>and:</t>
  </si>
  <si>
    <t>(Median)</t>
  </si>
  <si>
    <t>This shows the average teacher cost for primary and secondary schools. All others are above</t>
  </si>
  <si>
    <t>Broadly in line with similar schools</t>
  </si>
  <si>
    <t>High risk</t>
  </si>
  <si>
    <t>Medium risk</t>
  </si>
  <si>
    <t>Low risk</t>
  </si>
  <si>
    <t>Broadly in line with recommendations</t>
  </si>
  <si>
    <t>Requires Improvement</t>
  </si>
  <si>
    <t>More than or equal to</t>
  </si>
  <si>
    <t>Full time equivalent number of teachers (classroom and leadership)</t>
  </si>
  <si>
    <t>Summary of agreed action and timetable for reporting back:</t>
  </si>
  <si>
    <t>Teaching periods in the timetable cycle</t>
  </si>
  <si>
    <t>Total number of classes</t>
  </si>
  <si>
    <t>For secondary and all-through schools:</t>
  </si>
  <si>
    <t>For primary schools:</t>
  </si>
  <si>
    <t>Outstanding</t>
  </si>
  <si>
    <t>Total lessons taught by all teachers in the timetable cycle</t>
  </si>
  <si>
    <t>Teaching resources</t>
  </si>
  <si>
    <t>ICT teaching resources</t>
  </si>
  <si>
    <t>Expand the groups to see the thresholds</t>
  </si>
  <si>
    <t>PVSL</t>
  </si>
  <si>
    <t>PSL</t>
  </si>
  <si>
    <t>PML</t>
  </si>
  <si>
    <t>PLL</t>
  </si>
  <si>
    <t>PVSM</t>
  </si>
  <si>
    <t>PSM</t>
  </si>
  <si>
    <t>PMM</t>
  </si>
  <si>
    <t>PLM</t>
  </si>
  <si>
    <t>PSH</t>
  </si>
  <si>
    <t>PVSH</t>
  </si>
  <si>
    <t>PMH</t>
  </si>
  <si>
    <t>PLH</t>
  </si>
  <si>
    <t>SSSL</t>
  </si>
  <si>
    <t>SSML</t>
  </si>
  <si>
    <t>SSLL</t>
  </si>
  <si>
    <t>SSL</t>
  </si>
  <si>
    <t>SML</t>
  </si>
  <si>
    <t>SLL</t>
  </si>
  <si>
    <t>SSSM</t>
  </si>
  <si>
    <t>SSMM</t>
  </si>
  <si>
    <t>SSLM</t>
  </si>
  <si>
    <t>SSM</t>
  </si>
  <si>
    <t>SMM</t>
  </si>
  <si>
    <t>SLM</t>
  </si>
  <si>
    <t>SSSH</t>
  </si>
  <si>
    <t>SSMH</t>
  </si>
  <si>
    <t>SSLH</t>
  </si>
  <si>
    <t>SSH</t>
  </si>
  <si>
    <t>SMH</t>
  </si>
  <si>
    <t>SLH</t>
  </si>
  <si>
    <t>SPL</t>
  </si>
  <si>
    <t>APL</t>
  </si>
  <si>
    <t>SPNL</t>
  </si>
  <si>
    <t>APNL</t>
  </si>
  <si>
    <t>ATL</t>
  </si>
  <si>
    <t>ATNL</t>
  </si>
  <si>
    <t>NL</t>
  </si>
  <si>
    <t>NNL</t>
  </si>
  <si>
    <t>PL</t>
  </si>
  <si>
    <t>PNL</t>
  </si>
  <si>
    <t>SL</t>
  </si>
  <si>
    <t>SNL</t>
  </si>
  <si>
    <t>SSNL</t>
  </si>
  <si>
    <t>SSLo</t>
  </si>
  <si>
    <t>Average teacher cost</t>
  </si>
  <si>
    <t>% of pupils eligible for FSM:</t>
  </si>
  <si>
    <t>B. Spending as a percentage of total expenditure</t>
  </si>
  <si>
    <t>The school's
data</t>
  </si>
  <si>
    <t>This school is being compared to other:</t>
  </si>
  <si>
    <r>
      <t xml:space="preserve">Guidance on calculating or collecting the data for the school so that metrics are compared to thresholds consistently can be found </t>
    </r>
    <r>
      <rPr>
        <u/>
        <sz val="12"/>
        <color theme="4" tint="-0.249977111117893"/>
        <rFont val="Arial"/>
        <family val="2"/>
      </rPr>
      <t>here</t>
    </r>
    <r>
      <rPr>
        <sz val="12"/>
        <rFont val="Arial"/>
        <family val="2"/>
      </rPr>
      <t>. Clicking on the link next to individual indicators below will also take you to the relevant section of the guidance.</t>
    </r>
  </si>
  <si>
    <t>A</t>
  </si>
  <si>
    <t>H</t>
  </si>
  <si>
    <t>School name from dashboard</t>
  </si>
  <si>
    <t>School information from dashboard</t>
  </si>
  <si>
    <t>Named ranges for RAG ratings above</t>
  </si>
  <si>
    <t>RAG ratings for each school</t>
  </si>
  <si>
    <t>Information for the 'RAG rating data for your school' look ups</t>
  </si>
  <si>
    <t>RAG rating text for dashboard</t>
  </si>
  <si>
    <t>*</t>
  </si>
  <si>
    <t>Info for comparison description</t>
  </si>
  <si>
    <t>Low</t>
  </si>
  <si>
    <t>Does the school have an appropriate business continuity or disaster recovery plan, including an up-to-date asset register and adequate insurance?</t>
  </si>
  <si>
    <t>D. Staffing</t>
  </si>
  <si>
    <r>
      <rPr>
        <b/>
        <sz val="12"/>
        <rFont val="Arial"/>
        <family val="2"/>
      </rPr>
      <t>Using the results from the dashboard</t>
    </r>
    <r>
      <rPr>
        <sz val="8"/>
        <rFont val="Arial"/>
        <family val="2"/>
      </rPr>
      <t xml:space="preserve">
</t>
    </r>
    <r>
      <rPr>
        <u/>
        <sz val="12"/>
        <color theme="4" tint="-0.249977111117893"/>
        <rFont val="Arial"/>
        <family val="2"/>
      </rPr>
      <t>Click here</t>
    </r>
    <r>
      <rPr>
        <sz val="12"/>
        <rFont val="Arial"/>
        <family val="2"/>
      </rPr>
      <t xml:space="preserve"> for explanations of what the red, amber and green (RAG) ratings mean and what do with the results.</t>
    </r>
  </si>
  <si>
    <t>Introduction to the schools financial value standard (SFVS)</t>
  </si>
  <si>
    <t>The schools financial value standard helps to provide schools with assurance that they are meeting the basic standards necessary to achieve a good level of financial health and resource management. 
The tool can be used to identify possible areas for change to ensure that resources are being used to support high-quality teaching and the best education outcomes for pupils. The tool is in two parts:</t>
  </si>
  <si>
    <t>1. A checklist, which asks a number of questions of governing bodies in six areas of resource management to provide assurance that the school is managing its resources effectively.</t>
  </si>
  <si>
    <t>2. A dashboard, which shows how a school's data compares to thresholds on a range of statistics that have been identified as indicators for good resource management and outcomes.</t>
  </si>
  <si>
    <t>Outcome of schools financial value standard (SFVS)</t>
  </si>
  <si>
    <t>Chair of governing body / management committee</t>
  </si>
  <si>
    <t>Date SFVS agreed by full governing body / managament committee</t>
  </si>
  <si>
    <t>Date SFVS submitted to local authority for review:</t>
  </si>
  <si>
    <t>Schools financial value standard - checklist</t>
  </si>
  <si>
    <r>
      <t xml:space="preserve">Guidance on completion of this document can be found </t>
    </r>
    <r>
      <rPr>
        <u/>
        <sz val="12"/>
        <color rgb="FF0070C0"/>
        <rFont val="Arial"/>
        <family val="2"/>
      </rPr>
      <t>here</t>
    </r>
    <r>
      <rPr>
        <sz val="12"/>
        <rFont val="Arial"/>
        <family val="2"/>
      </rPr>
      <t>. This guidance also includes examples of good practice and details further support available to assist governing bodies in addressing specific issues. Clicking on the individual questions below will also take you to the relevant section of the guidance.</t>
    </r>
  </si>
  <si>
    <t>Schools should answer each question with 'yes', 'no', or 'in part' from the drop down lists provided. They should provide comments, evidence and proposed actions for questions as appropriate.</t>
  </si>
  <si>
    <t>In the view of the governing body and senior staff, does the governing body have adequate financial skills among its members to fulfil its role of challenge and support in the field of budget management and value for money?</t>
  </si>
  <si>
    <t>Q1 guidance</t>
  </si>
  <si>
    <t>Does the governing body have a finance committee (or equivalent) with clear terms of reference and a knowledgeable and experienced chair?</t>
  </si>
  <si>
    <t>Q2 guidance</t>
  </si>
  <si>
    <t>Does the governing body board receive clear and concise monitoring reports of the school's budget position at least six times a year?</t>
  </si>
  <si>
    <t>Q3 guidance</t>
  </si>
  <si>
    <t>Are business interests of governing body members and staff properly registered and taken into account so as to avoid conflicts of interest?</t>
  </si>
  <si>
    <t>Q4 guidance</t>
  </si>
  <si>
    <t>Does the school have access to an adequate level of financial expertise, including when specialist finance staff are absent, e.g. on sick leave?</t>
  </si>
  <si>
    <t>Q5 guidance</t>
  </si>
  <si>
    <t>Does the school have a realistic, sustainable and flexible financial strategy in place for at least the next 3 years, based on realistic assumptions about future funding, pupil numbers and pressures?</t>
  </si>
  <si>
    <t>Q6 guidance</t>
  </si>
  <si>
    <t>Is the financial strategy integrated with the school’s strategy for raising standards and attainment?</t>
  </si>
  <si>
    <t>Q7 guidance</t>
  </si>
  <si>
    <t>Q8 guidance</t>
  </si>
  <si>
    <t>Does the school set a well-informed and balanced budget each year (with an agreed and timed plan for eliminating any deficit)?</t>
  </si>
  <si>
    <t>Q9 guidance</t>
  </si>
  <si>
    <t>Does the budget setting process allow sufficient time for the governing body to scrutinise and challenge the information provided?</t>
  </si>
  <si>
    <t>Q10 guidance</t>
  </si>
  <si>
    <t>Is the governing body realistic in its pupil number projections and can it move quickly to recast the budget if the projections and the reality are materially different?</t>
  </si>
  <si>
    <t>Q11 guidance</t>
  </si>
  <si>
    <t>Is end year outturn in line with budget projections, or if not, is the governing body alerted to significant variations in a timely manner, and do such variations result from explicitly planned changes or from genuinely unforeseeable circumstances?</t>
  </si>
  <si>
    <t>Q12 guidance</t>
  </si>
  <si>
    <t>Are balances at a reasonable level and does the school have a clear plan for using the money it plans to hold in balance at the end of each year?</t>
  </si>
  <si>
    <t>Q13 guidance</t>
  </si>
  <si>
    <t xml:space="preserve">Does the school review and challenge its staffing structure regularly to ensure it is the best structure to meet the needs of the school whilst maintaining financial integrity? </t>
  </si>
  <si>
    <t>Has the use of professional independent advice informed part of the pay decision process in relation to the head teacher and is it tightly correlated to strong educational outcomes and sound financial management?</t>
  </si>
  <si>
    <t>Q15 guidance</t>
  </si>
  <si>
    <t>Does the school benchmark the size of its senior leadership team annually against that of similar schools?</t>
  </si>
  <si>
    <t>Q16 guidance</t>
  </si>
  <si>
    <t>Does the school benchmark its income and expenditure annually against that of similar schools and investigate further where any category appears to be out of line?</t>
  </si>
  <si>
    <t>Q17 guidance</t>
  </si>
  <si>
    <t>Does the school have procedures for purchasing goods and services that both meet legal requirements and secure value for money?</t>
  </si>
  <si>
    <t>Q18 guidance</t>
  </si>
  <si>
    <t xml:space="preserve">Is the governing body given the opportunity to challenge the school’s plans for replacing contracts for goods and services that are due to expire shortly? </t>
  </si>
  <si>
    <t>Q19 guidance</t>
  </si>
  <si>
    <t>Does the School consider collaboration with others, e.g. on sharing staff or joint purchasing, where that would improve value for money?</t>
  </si>
  <si>
    <t>Q20 guidance</t>
  </si>
  <si>
    <t>Do you compare your non-staff expenditure against the DfE recommended national deals to ensure you are achieving best value?</t>
  </si>
  <si>
    <t>Q21 guidance</t>
  </si>
  <si>
    <t>Does the school maintain its premises and other assets to an adequate standard and make best use of capital monies for this purpose?</t>
  </si>
  <si>
    <t>Q22 guidance</t>
  </si>
  <si>
    <t>Is the governing body sure that there are no outstanding matters from audit reports, internal audit reports or from previous consideration of weaknesses by the governing body?</t>
  </si>
  <si>
    <t>Q23 guidance</t>
  </si>
  <si>
    <t>Q24 guidance</t>
  </si>
  <si>
    <t>Are there adequate arrangements in place to guard against fraud and theft by staff, contractors and suppliers? (Please note any instance of fraud or theft detected in the last 12 months)</t>
  </si>
  <si>
    <t>Q25 guidance</t>
  </si>
  <si>
    <t>Are all staff aware of the school’s whistleblowing arrangements and to whom they should report concerns?</t>
  </si>
  <si>
    <t>Q26 guidance</t>
  </si>
  <si>
    <t>Does the school have an accounting system that is adequate and properly run and delivers accurate reports, including the annual Consistent Financial Reporting return?</t>
  </si>
  <si>
    <t>Q27 guidance</t>
  </si>
  <si>
    <t>Does the school have adequate arrangements for audit of voluntary funds?</t>
  </si>
  <si>
    <t>Q28 guidance</t>
  </si>
  <si>
    <t>G. SFVS dashboard</t>
  </si>
  <si>
    <t>Have the results of the dashboard been carefully considered and potential follow-up actions identified?</t>
  </si>
  <si>
    <t>Q29 guidance</t>
  </si>
  <si>
    <r>
      <t>Schools should use the most up to date information available to them, and not rely on lagged published data.</t>
    </r>
    <r>
      <rPr>
        <sz val="10"/>
        <color theme="1"/>
        <rFont val="Arial"/>
        <family val="2"/>
      </rPr>
      <t xml:space="preserve">
</t>
    </r>
    <r>
      <rPr>
        <sz val="12"/>
        <color theme="1"/>
        <rFont val="Arial"/>
        <family val="2"/>
      </rPr>
      <t>All of the data should refer to the same financial year.</t>
    </r>
  </si>
  <si>
    <t>E01</t>
  </si>
  <si>
    <t>E02</t>
  </si>
  <si>
    <t>E03</t>
  </si>
  <si>
    <t>E04</t>
  </si>
  <si>
    <t>E05</t>
  </si>
  <si>
    <t>E06</t>
  </si>
  <si>
    <t>E07</t>
  </si>
  <si>
    <t>E08</t>
  </si>
  <si>
    <t>E09</t>
  </si>
  <si>
    <t>E12</t>
  </si>
  <si>
    <t>Building maintenance and improvement</t>
  </si>
  <si>
    <t>Grounds maintenance and improvement</t>
  </si>
  <si>
    <t>Rates</t>
  </si>
  <si>
    <t>E20</t>
  </si>
  <si>
    <t>Administrative supplies</t>
  </si>
  <si>
    <t>E27</t>
  </si>
  <si>
    <t>Bought-in professional services - curriculum</t>
  </si>
  <si>
    <t>Bought-in professional services - other</t>
  </si>
  <si>
    <t>Loan interest</t>
  </si>
  <si>
    <t>Direct revenue financing</t>
  </si>
  <si>
    <t>Community-focused school staff</t>
  </si>
  <si>
    <t>Community-focused school costs</t>
  </si>
  <si>
    <t>Schools financial value standard - dashboard</t>
  </si>
  <si>
    <r>
      <rPr>
        <sz val="6"/>
        <color theme="1"/>
        <rFont val="Arial"/>
        <family val="2"/>
      </rPr>
      <t xml:space="preserve">
</t>
    </r>
    <r>
      <rPr>
        <b/>
        <sz val="12"/>
        <color theme="1"/>
        <rFont val="Arial"/>
        <family val="2"/>
      </rPr>
      <t>Using the dashboard</t>
    </r>
    <r>
      <rPr>
        <b/>
        <sz val="8"/>
        <color theme="1"/>
        <rFont val="Arial"/>
        <family val="2"/>
      </rPr>
      <t xml:space="preserve">
</t>
    </r>
    <r>
      <rPr>
        <sz val="12"/>
        <color theme="1"/>
        <rFont val="Arial"/>
        <family val="2"/>
      </rPr>
      <t>Schools should use the most up to date data available to them, and not rely on lagged published data.</t>
    </r>
    <r>
      <rPr>
        <b/>
        <sz val="4"/>
        <color theme="1"/>
        <rFont val="Arial"/>
        <family val="2"/>
      </rPr>
      <t xml:space="preserve">
</t>
    </r>
    <r>
      <rPr>
        <sz val="12"/>
        <color theme="1"/>
        <rFont val="Arial"/>
        <family val="2"/>
      </rPr>
      <t>Complete all highlighted cells</t>
    </r>
    <r>
      <rPr>
        <b/>
        <sz val="12"/>
        <color theme="1"/>
        <rFont val="Arial"/>
        <family val="2"/>
      </rPr>
      <t>.</t>
    </r>
  </si>
  <si>
    <r>
      <t>Effective resource management is about how a school uses its resources to drive outcomes for its pupils. A school can improve outcomes by using its resources more effectively.</t>
    </r>
    <r>
      <rPr>
        <sz val="4"/>
        <color theme="1"/>
        <rFont val="Arial"/>
        <family val="2"/>
      </rPr>
      <t xml:space="preserve">
</t>
    </r>
    <r>
      <rPr>
        <sz val="12"/>
        <color theme="1"/>
        <rFont val="Arial"/>
        <family val="2"/>
      </rPr>
      <t xml:space="preserve">The dashboard below is designed to help schools identify areas for improved resource management. It shows how a school compares to thresholds on a range of key indicators. </t>
    </r>
    <r>
      <rPr>
        <sz val="8"/>
        <color theme="1"/>
        <rFont val="Arial"/>
        <family val="2"/>
      </rPr>
      <t xml:space="preserve">
</t>
    </r>
    <r>
      <rPr>
        <sz val="12"/>
        <color theme="1"/>
        <rFont val="Arial"/>
        <family val="2"/>
      </rPr>
      <t>The completion of this assessment forms part of the annual schools financial value standard.</t>
    </r>
  </si>
  <si>
    <t>School LAEstab number:</t>
  </si>
  <si>
    <r>
      <rPr>
        <u/>
        <sz val="12"/>
        <color theme="4" tint="-0.249977111117893"/>
        <rFont val="Arial"/>
        <family val="2"/>
      </rPr>
      <t>Click here</t>
    </r>
    <r>
      <rPr>
        <sz val="12"/>
        <rFont val="Arial"/>
        <family val="2"/>
      </rPr>
      <t xml:space="preserve"> to see the RAG rating data for this school</t>
    </r>
  </si>
  <si>
    <t>A. Information about your school</t>
  </si>
  <si>
    <t>B. School strategy</t>
  </si>
  <si>
    <t>C. Setting the annual budget</t>
  </si>
  <si>
    <t>E. Value for money</t>
  </si>
  <si>
    <t xml:space="preserve">F. Protecting public money </t>
  </si>
  <si>
    <t>The RAG ratings have been calculated using maintained school and academy 2017 to 18 data.
The majority of metrics in the dashboard are percentages and ratios which at a national level don't change significantly year on year, so they still provide a fair and useful comparison with your up to date data.
The exception is average teacher cost, which does change year on year. To reflect the latest pay awards (from September 2018 and September 2019) and pensions contribution changes we have uplifted the underlying data by 11.2%. The thresholds therefore reflect average teacher costs for the academic year 2019/20.</t>
  </si>
  <si>
    <t>The checklist asks a number of questions of governing bodies in six areas of resource management to help provide assurance that resources are being managed effectively. 
The completion of this assessment forms part of the schools financial value standard. Your return must be submitted to your local authority</t>
  </si>
  <si>
    <r>
      <t xml:space="preserve">This form can be used to input raw spend and characteristics information. If used, the information in this table will be used to calculate the percentages and ratios required in the dashboard. Alternatively, 
</t>
    </r>
    <r>
      <rPr>
        <u/>
        <sz val="12"/>
        <color theme="4" tint="-0.249977111117893"/>
        <rFont val="Arial"/>
        <family val="2"/>
      </rPr>
      <t>click here</t>
    </r>
    <r>
      <rPr>
        <sz val="12"/>
        <rFont val="Arial"/>
        <family val="2"/>
      </rPr>
      <t xml:space="preserve"> to input the percentages and ratios directly into the dashboard.</t>
    </r>
  </si>
  <si>
    <r>
      <t xml:space="preserve">Input the school's percentages and ratios directly below, or
</t>
    </r>
    <r>
      <rPr>
        <u/>
        <sz val="12"/>
        <color theme="4" tint="-0.249977111117893"/>
        <rFont val="Arial"/>
        <family val="2"/>
      </rPr>
      <t>click here</t>
    </r>
    <r>
      <rPr>
        <sz val="12"/>
        <rFont val="Arial"/>
        <family val="2"/>
      </rPr>
      <t xml:space="preserve"> to input raw spending and characteristics data for your school</t>
    </r>
  </si>
  <si>
    <r>
      <t xml:space="preserve">Either input the school's percentages and ratios directly, or complete the </t>
    </r>
    <r>
      <rPr>
        <u/>
        <sz val="12"/>
        <color theme="4" tint="-0.249977111117893"/>
        <rFont val="Arial"/>
        <family val="2"/>
      </rPr>
      <t>Optional - input raw data</t>
    </r>
    <r>
      <rPr>
        <sz val="12"/>
        <rFont val="Arial"/>
        <family val="2"/>
      </rPr>
      <t xml:space="preserve"> form with spending information and school characteristics. The percentages and ratios in the dashboard will then auto-calculate.</t>
    </r>
  </si>
  <si>
    <t>College Town Primary School</t>
  </si>
  <si>
    <t>867/2087</t>
  </si>
  <si>
    <t>Yes</t>
  </si>
  <si>
    <t>South East</t>
  </si>
  <si>
    <t>The committee has its own Terms of reference which are reviewed each year. The Chair of Finance has been chair for 9 Years and has a finance background, qualified accountant and experience of chairing meetings.</t>
  </si>
  <si>
    <t>Full budget updates are provided by the SBM at all Staff, Finance &amp; Sites Committee meetings held six times a year. Detailed reports are circulated and presented. This is a regular agenda item and evidenced through the minutes.</t>
  </si>
  <si>
    <t>All governors and school staff with financial responsibility sign new declaration of interest form at the start of the year. Business Interests declarations are also an agenda item at each meeting so the meeting can take into account any interests and also to update any new interests. Decalration of Business Interest are published on eth school website.</t>
  </si>
  <si>
    <t xml:space="preserve">Five year budget plan produced using the budget planning tool and reviewed based on known/expected pupil numbers, financial changes and other budget pressures. </t>
  </si>
  <si>
    <t>Budget is produced in conjuntion with the School Development Plan/raising attainment plan, curriculum plans, staffing plans, training needs, maintenance and development plans. All individual plans for curriculum, training, maintenance, pupil premium, etc are all based on the school s raising attainment plan.</t>
  </si>
  <si>
    <t>Emergency plan which includes disaster recovery. Insurance is through the LA.</t>
  </si>
  <si>
    <t>Experienced School Business Manager. Finance Assistant who manages ordering and budget spends on FMS and processes payments for trips/clubs etc. Other staff manage deliveries. Head has good understanding of financial practices. School has access to LA SLA Bursar Cover Service and can purchase time as required.</t>
  </si>
  <si>
    <t>Detailed reports provided by SBM. Specific Committee meetings are also set for setting the budget.The budget incorporates known staffing changes, pay awards (known or estimated), income assumptions, changes in pupil numbers expected, SLA costs and all proposed curriculum spends and other areas of spends. All teaching staff are involved in putting together their own budget requests in relation to a particular area of the curriculum.All plans are used to produce a well-informed budget plan and reported to the Staffing and Finance committee during the budget planning phase, spring term, and at the budget setting meeting in May. Planned surplus for particular projects are discussed. In 2019/20 a larger surplus than usual was pllaned to account for teh drop in next eyars budget due to reduction in lump sum ammount since amalgamation.</t>
  </si>
  <si>
    <t>Governors understand pupil number projections and are made aware of potential changes and impact. Impact of change in pupil numbers is discussed and examined to see effect so plans are ready to implement should changes occur. E.g 2019/20 Started year 3 with only two classes but on returning from Summer numbers had increased and it became clear there was need for third class. This was anticipated and spare teacher planned to cover classes was moved to class based and cover provided by supply.</t>
  </si>
  <si>
    <t xml:space="preserve">Outturn was higher than originally planned but Governors were made aware of this during the Year. 2018-19 budget was difficult to plan due to eth amalgamation . Additional funding to CTJS was received from the LA which was not initially anticpated giving a larger carry forward from CTJS budget. Additionally school was able to reduce duplicate contract and duplication of work expected in first year of amalgamation reducing costs. Changes in staffing allowed restructure of leadership reducing costs. </t>
  </si>
  <si>
    <t>Balances are less than the required 16%. However they are over 8% but school has clear plans for the money held in balance. To cover additional out of class lead practitioner to develop teaching since amalgamation; cover protected pay; develop music room. Furture plans to redevelop four toilets.</t>
  </si>
  <si>
    <t>Staff structure reviewed annually and on the resignation of any member of staff. Reviewed as part of budget setting process linked to SDP. Eg 2019 leadership roles changed to make leadership team more effective, plus additional post for pastoral care.</t>
  </si>
  <si>
    <t>Staff structure reviewed annually and on resignation of staff. Incorporated into budget plans to ensure finanicailly viable. The Staff, Finance &amp; Sites Committee are provided with regular updates regarding staffing levels and any required changes. Evidence within the Committee minutes. 2019 leadership roles evaluated and changed and additional role for resopnsibility for pastoral care added.</t>
  </si>
  <si>
    <t>Head teacher performance reviewed by Governors against agreed targets which relate to the educational outcomes. School Improvement Partner from LA attends to provide independent advice on salary.</t>
  </si>
  <si>
    <t>In part</t>
  </si>
  <si>
    <t>Benchmarking carried out annually and presented to Governors for discussions. Actions raised and ares of interest investigated.</t>
  </si>
  <si>
    <t xml:space="preserve">Detailed School Finance Procedures, reviewed annually. School follows LA scheme of finance and guidelines on procurement and seeks advice from LA procurement on large tenders/procurement when required. Delegated contract authority and certifying officers reviewed annually. school has procedure for use of procurement card reviewed annually. Staff, Finance &amp; Sites terms of Reference also include responsibility to Staff and Finance Committee for ensuring this takes place. </t>
  </si>
  <si>
    <t>All contracts due to expire or new contract to be taken out are brought to the attention of the Governors in advance and procurement options discussed. Eg current catering procurement. However there is no single contract register document provided to governors</t>
  </si>
  <si>
    <t>The school colloborates with other schools within the LA sharing staff resources where appropriate. School liaises with outher LA schools and schools within the Berkshire School Business Manager group to share resources and carry out shared procurement.</t>
  </si>
  <si>
    <t xml:space="preserve">regular maint of building done on a rolling programme and updates to areas highlighted in advance and planned in. Condition survey is used for future premises maintenance planning and incorporated in budget and five year budget planning. Development of premises reviewed continually and monitoerd by Governors. </t>
  </si>
  <si>
    <t>Audit reports are fed back to Governors and actions are monitored. Evidence within minutes. Actions from July 2019 Audit were all discussed and monitored at Governors and have all been completed.</t>
  </si>
  <si>
    <t xml:space="preserve">Register if Business Interest completed by all Governors. Business interests are declared at all meetings. If tehre was ever a conflict of interest parties with conflict would not be able to be party to the discussion or decision process. </t>
  </si>
  <si>
    <t>The school operates finance delegation which includes multiple signatories. Expensive equipment (eg IT equip) is locked away. All money is kept in the safe and this has limited access. Separation of duties is clear and there are enough different levels of staff to guard against fraud. Use of procurement cards is defined in the schools procedures for use as defined by the LA and followed accordingly. CCTV is in operation</t>
  </si>
  <si>
    <t xml:space="preserve">The school has adopted the Whistle Blowing Policy using the template provided by Bracknell Forest Council. All staff are made aware of it and a copy is placed on the staff section of the website and is included in the induction program for all new staff. </t>
  </si>
  <si>
    <t>Use the Financial Management System (FMS) supported by BF. The CFR is produced from within FMS.  Bracknell Forest check the CFR to ensure it balances and agrees with Central records. FMS is reconciled by SBM on a monthly basis to the Agresso reports that are produced by Bracknell Forest Council Financial Services.</t>
  </si>
  <si>
    <t xml:space="preserve">Audited independently on an annual basis by an external source to the school. Written confirmation of this is presented annually to the Staff, Finance &amp; Sites Committee. Evidence of this is held within the minutes of Committee meetings and a copy of the fund check is sent to Bracknell Forest. </t>
  </si>
  <si>
    <t>Financial Data 2019/20 actual and estimated spend to end of financial year. Staff and pupil numbers as current Jan 2020. Premises spend includes staff ocsts, repairs and maintenance, grounds maintenance and cleaning; spend in 2019/20 is high as planned for school building improvements so expected to be high compared to similar schools.  FTE teachers incl maternity leave staff but costs paid for by BF so reducing average teacher costs. Teacher contact ratio doesn’t include supply/agency staff covering classes as FTE teachers adding these in reduces teacher contact ratio. Also most non-contact time covered by agency staff not in school staff so not included in this figure so actual teacher contact ratio is lower. Raw data Total Income is budget and income received in year and does not included last years carried forward to give correct calculation for in year balance. Revenue balances in raqw data is total carry forward expected at end of 2019/20 and included previoous year carry forward.</t>
  </si>
  <si>
    <t>Section B - Premises spend is higher as expected. This expenditure includes staff costs, repair and main, grounds main and cleaning. In the current year we have spent large amount on repair and main inc electrical repairs from 5 year testing; redecoration and flooring in KS2 building to bring it up to level of rest of school; conversion of small office; outdoor animal area and the hall floor. All planned areas and expected to be higher than other schools. Section D - Average teacher cost incls maternity leave staff who are paid by LA so costs reduced. Senior Leaders Higher, includes SENCO and Lead Practitioner which other schools do not include under leadership. Pupil to teacher ratio low as we have more out of class teachers than other schools. Teacher contact - calculated by dividing number of classes by no. of fte teachers on number of teachers however school currently has supply/agency staff as class teachers so adding this to the FTE for teachers would bring this number down to 0.79, target is 0.78. Pupil numbers are reducing, school aware and this will be accounted for in budget/staff planning. Section E - Outcomes, pupil outcomes are known and have been discussed at Governors and used to define school improvement plans.</t>
  </si>
  <si>
    <t>Chair of Staffing and Finance has been chair for 9 years and is a qualified accountant with leadership skills. The other 7 members of the Finance committe have been in post for between 3 and 9 years. In addition the Chair of Governors has previous experience of school finances as a Head teacher and as Director of Education for Forces overseas. Skills matrix are completed at regular intervals.</t>
  </si>
  <si>
    <t>Governors are provided with 5 year plan and regularly updated on changes. Indicitive budget is discussed in Dece or Jan and then initial new budget plans presented and discussed at Governors in Jan and March. Detailed plan then presented, discussed and approved  in May.</t>
  </si>
  <si>
    <t>Benchmarking is carried out annually using the Governments website. Size of SLT has not previously been looked at as an area to benchmark. Examination of dashboard shows the schools SLT size is in highest 20% of similar schools. However SENCO and Lead practitioner are included in these figures which they may not be in other schools. Hence we would expect higher SLT number.</t>
  </si>
  <si>
    <t>Have looked at this in the past for procurement/resources but not always considered.. Not used for current catering procurement as running with collaborative group.</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</si>
</sst>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quot;£&quot;#,##0"/>
    <numFmt numFmtId="167" formatCode="#,##0.0"/>
  </numFmts>
  <fonts count="35" x14ac:knownFonts="1">
    <font>
      <sz val="11"/>
      <color theme="1"/>
      <name val="Calibri"/>
      <family val="2"/>
      <scheme val="minor"/>
    </font>
    <font>
      <sz val="11"/>
      <color theme="1"/>
      <name val="Calibri"/>
      <family val="2"/>
      <scheme val="minor"/>
    </font>
    <font>
      <sz val="11"/>
      <color theme="1"/>
      <name val="Arial"/>
      <family val="2"/>
    </font>
    <font>
      <b/>
      <sz val="16"/>
      <color theme="0"/>
      <name val="Arial"/>
      <family val="2"/>
    </font>
    <font>
      <b/>
      <sz val="11"/>
      <color theme="1"/>
      <name val="Arial"/>
      <family val="2"/>
    </font>
    <font>
      <b/>
      <sz val="14"/>
      <color theme="1"/>
      <name val="Arial"/>
      <family val="2"/>
    </font>
    <font>
      <sz val="12"/>
      <name val="Arial"/>
      <family val="2"/>
    </font>
    <font>
      <b/>
      <sz val="12"/>
      <color theme="1"/>
      <name val="Arial"/>
      <family val="2"/>
    </font>
    <font>
      <sz val="12"/>
      <color theme="1"/>
      <name val="Arial"/>
      <family val="2"/>
    </font>
    <font>
      <b/>
      <sz val="12"/>
      <color rgb="FFFF0000"/>
      <name val="Arial"/>
      <family val="2"/>
    </font>
    <font>
      <b/>
      <sz val="12"/>
      <color theme="0"/>
      <name val="Arial"/>
      <family val="2"/>
    </font>
    <font>
      <u/>
      <sz val="11"/>
      <color theme="10"/>
      <name val="Calibri"/>
      <family val="2"/>
      <scheme val="minor"/>
    </font>
    <font>
      <u/>
      <sz val="12"/>
      <color theme="10"/>
      <name val="Arial"/>
      <family val="2"/>
    </font>
    <font>
      <u/>
      <sz val="12"/>
      <color rgb="FF0070C0"/>
      <name val="Arial"/>
      <family val="2"/>
    </font>
    <font>
      <i/>
      <sz val="12"/>
      <color theme="1"/>
      <name val="Arial"/>
      <family val="2"/>
    </font>
    <font>
      <sz val="12"/>
      <color theme="0" tint="-0.499984740745262"/>
      <name val="Arial"/>
      <family val="2"/>
    </font>
    <font>
      <sz val="11"/>
      <color rgb="FFFF0000"/>
      <name val="Arial"/>
      <family val="2"/>
    </font>
    <font>
      <u/>
      <sz val="12"/>
      <color theme="1"/>
      <name val="Arial"/>
      <family val="2"/>
    </font>
    <font>
      <strike/>
      <sz val="11"/>
      <color theme="1"/>
      <name val="Arial"/>
      <family val="2"/>
    </font>
    <font>
      <sz val="12"/>
      <color theme="0"/>
      <name val="Arial"/>
      <family val="2"/>
    </font>
    <font>
      <sz val="4"/>
      <color theme="1"/>
      <name val="Arial"/>
      <family val="2"/>
    </font>
    <font>
      <u/>
      <sz val="12"/>
      <color theme="4" tint="-0.249977111117893"/>
      <name val="Arial"/>
      <family val="2"/>
    </font>
    <font>
      <b/>
      <sz val="4"/>
      <color theme="1"/>
      <name val="Arial"/>
      <family val="2"/>
    </font>
    <font>
      <b/>
      <sz val="12"/>
      <name val="Arial"/>
      <family val="2"/>
    </font>
    <font>
      <sz val="11"/>
      <color theme="0"/>
      <name val="Arial"/>
      <family val="2"/>
    </font>
    <font>
      <b/>
      <sz val="11"/>
      <color theme="0"/>
      <name val="Arial"/>
      <family val="2"/>
    </font>
    <font>
      <sz val="11"/>
      <name val="Arial"/>
      <family val="2"/>
    </font>
    <font>
      <sz val="11"/>
      <color theme="0" tint="-0.499984740745262"/>
      <name val="Arial"/>
      <family val="2"/>
    </font>
    <font>
      <sz val="10"/>
      <name val="Arial"/>
      <family val="2"/>
    </font>
    <font>
      <b/>
      <sz val="8"/>
      <color theme="1"/>
      <name val="Arial"/>
      <family val="2"/>
    </font>
    <font>
      <sz val="10"/>
      <color theme="1"/>
      <name val="Arial"/>
      <family val="2"/>
    </font>
    <font>
      <sz val="6"/>
      <color theme="1"/>
      <name val="Arial"/>
      <family val="2"/>
    </font>
    <font>
      <sz val="8"/>
      <name val="Arial"/>
      <family val="2"/>
    </font>
    <font>
      <sz val="8"/>
      <color theme="1"/>
      <name val="Arial"/>
      <family val="2"/>
    </font>
    <font>
      <sz val="14"/>
      <color theme="1"/>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rgb="FF104F75"/>
        <bgColor indexed="64"/>
      </patternFill>
    </fill>
    <fill>
      <patternFill patternType="solid">
        <fgColor rgb="FFE8D3D4"/>
        <bgColor indexed="64"/>
      </patternFill>
    </fill>
    <fill>
      <patternFill patternType="solid">
        <fgColor rgb="FFED878E"/>
        <bgColor indexed="64"/>
      </patternFill>
    </fill>
    <fill>
      <patternFill patternType="solid">
        <fgColor rgb="FFC0DDAD"/>
        <bgColor indexed="64"/>
      </patternFill>
    </fill>
    <fill>
      <patternFill patternType="solid">
        <fgColor rgb="FFFFD961"/>
        <bgColor indexed="64"/>
      </patternFill>
    </fill>
    <fill>
      <patternFill patternType="solid">
        <fgColor rgb="FF73B04A"/>
        <bgColor indexed="64"/>
      </patternFill>
    </fill>
    <fill>
      <patternFill patternType="solid">
        <fgColor theme="0" tint="-4.9989318521683403E-2"/>
        <bgColor indexed="64"/>
      </patternFill>
    </fill>
    <fill>
      <patternFill patternType="solid">
        <fgColor theme="1"/>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11" fillId="0" borderId="0" applyNumberFormat="0" applyFill="0" applyBorder="0" applyAlignment="0" applyProtection="0"/>
  </cellStyleXfs>
  <cellXfs count="356">
    <xf numFmtId="0" fontId="0" fillId="0" borderId="0" xfId="0"/>
    <xf numFmtId="0" fontId="2" fillId="0" borderId="0" xfId="0" applyFont="1" applyProtection="1">
      <protection hidden="1"/>
    </xf>
    <xf numFmtId="0" fontId="2" fillId="0" borderId="12" xfId="0" applyFont="1" applyBorder="1" applyProtection="1">
      <protection hidden="1"/>
    </xf>
    <xf numFmtId="0" fontId="2" fillId="0" borderId="13" xfId="0" applyFont="1" applyBorder="1" applyProtection="1">
      <protection hidden="1"/>
    </xf>
    <xf numFmtId="0" fontId="2" fillId="0" borderId="14" xfId="0" applyFont="1" applyBorder="1" applyProtection="1">
      <protection hidden="1"/>
    </xf>
    <xf numFmtId="0" fontId="2" fillId="0" borderId="0" xfId="0" applyFont="1" applyBorder="1" applyProtection="1">
      <protection hidden="1"/>
    </xf>
    <xf numFmtId="0" fontId="2" fillId="0" borderId="15" xfId="0" applyFont="1" applyBorder="1" applyProtection="1">
      <protection hidden="1"/>
    </xf>
    <xf numFmtId="0" fontId="2" fillId="0" borderId="16" xfId="0" applyFont="1" applyBorder="1" applyProtection="1">
      <protection hidden="1"/>
    </xf>
    <xf numFmtId="0" fontId="2" fillId="0" borderId="16" xfId="0" applyFont="1" applyBorder="1" applyAlignment="1" applyProtection="1">
      <alignment horizontal="left"/>
      <protection hidden="1"/>
    </xf>
    <xf numFmtId="0" fontId="8" fillId="0" borderId="0" xfId="0" applyFont="1" applyBorder="1" applyProtection="1">
      <protection hidden="1"/>
    </xf>
    <xf numFmtId="0" fontId="8" fillId="0" borderId="0" xfId="0" applyFont="1" applyBorder="1" applyAlignment="1" applyProtection="1">
      <alignment horizontal="right" indent="1"/>
      <protection hidden="1"/>
    </xf>
    <xf numFmtId="0" fontId="2" fillId="0" borderId="17" xfId="0" applyFont="1" applyBorder="1" applyProtection="1">
      <protection hidden="1"/>
    </xf>
    <xf numFmtId="0" fontId="2" fillId="0" borderId="18" xfId="0" applyFont="1" applyBorder="1" applyProtection="1">
      <protection hidden="1"/>
    </xf>
    <xf numFmtId="0" fontId="2" fillId="0" borderId="19" xfId="0" applyFont="1" applyBorder="1" applyProtection="1">
      <protection hidden="1"/>
    </xf>
    <xf numFmtId="0" fontId="8" fillId="0" borderId="15" xfId="0" applyFont="1" applyBorder="1" applyProtection="1">
      <protection hidden="1"/>
    </xf>
    <xf numFmtId="0" fontId="8" fillId="0" borderId="16" xfId="0" applyFont="1" applyBorder="1" applyProtection="1">
      <protection hidden="1"/>
    </xf>
    <xf numFmtId="0" fontId="8" fillId="0" borderId="0" xfId="0" applyFont="1" applyProtection="1">
      <protection hidden="1"/>
    </xf>
    <xf numFmtId="0" fontId="8" fillId="0" borderId="15" xfId="0" applyFont="1" applyBorder="1" applyAlignment="1" applyProtection="1">
      <alignment vertical="center"/>
      <protection hidden="1"/>
    </xf>
    <xf numFmtId="0" fontId="8" fillId="0" borderId="16" xfId="0" applyFont="1" applyBorder="1" applyAlignment="1" applyProtection="1">
      <alignment vertical="center"/>
      <protection hidden="1"/>
    </xf>
    <xf numFmtId="0" fontId="8" fillId="0" borderId="0" xfId="0" applyFont="1" applyAlignment="1" applyProtection="1">
      <alignment vertical="center"/>
      <protection hidden="1"/>
    </xf>
    <xf numFmtId="0" fontId="8" fillId="0" borderId="21" xfId="0" quotePrefix="1" applyFont="1" applyBorder="1" applyAlignment="1" applyProtection="1">
      <alignment horizontal="left" vertical="center"/>
      <protection hidden="1"/>
    </xf>
    <xf numFmtId="10" fontId="8" fillId="0" borderId="0" xfId="0" applyNumberFormat="1" applyFont="1" applyProtection="1">
      <protection hidden="1"/>
    </xf>
    <xf numFmtId="0" fontId="8" fillId="0" borderId="21" xfId="0" applyFont="1" applyBorder="1" applyAlignment="1" applyProtection="1">
      <alignment horizontal="left" vertical="center"/>
      <protection hidden="1"/>
    </xf>
    <xf numFmtId="0" fontId="8" fillId="0" borderId="17" xfId="0" applyFont="1" applyBorder="1" applyAlignment="1" applyProtection="1">
      <alignment horizontal="left" vertical="center" wrapText="1"/>
      <protection hidden="1"/>
    </xf>
    <xf numFmtId="0" fontId="8" fillId="0" borderId="20" xfId="0" applyFont="1" applyBorder="1" applyAlignment="1" applyProtection="1">
      <alignment horizontal="left" vertical="center" wrapText="1"/>
      <protection hidden="1"/>
    </xf>
    <xf numFmtId="0" fontId="8" fillId="0" borderId="18" xfId="0" applyFont="1" applyBorder="1" applyAlignment="1" applyProtection="1">
      <alignment horizontal="left" vertical="center" wrapText="1"/>
      <protection hidden="1"/>
    </xf>
    <xf numFmtId="0" fontId="8" fillId="0" borderId="18" xfId="0" applyFont="1" applyBorder="1" applyProtection="1">
      <protection hidden="1"/>
    </xf>
    <xf numFmtId="164" fontId="8" fillId="0" borderId="20" xfId="0" applyNumberFormat="1" applyFont="1" applyBorder="1" applyAlignment="1" applyProtection="1">
      <alignment horizontal="center" vertical="center"/>
      <protection hidden="1"/>
    </xf>
    <xf numFmtId="164" fontId="8" fillId="0" borderId="18" xfId="0" applyNumberFormat="1" applyFont="1" applyBorder="1" applyAlignment="1" applyProtection="1">
      <alignment horizontal="right" indent="1"/>
      <protection hidden="1"/>
    </xf>
    <xf numFmtId="0" fontId="8" fillId="0" borderId="18" xfId="0" applyFont="1" applyBorder="1" applyAlignment="1" applyProtection="1">
      <alignment horizontal="center" vertical="center"/>
      <protection hidden="1"/>
    </xf>
    <xf numFmtId="0" fontId="8" fillId="0" borderId="19" xfId="0" applyFont="1" applyBorder="1" applyProtection="1">
      <protection hidden="1"/>
    </xf>
    <xf numFmtId="10" fontId="2" fillId="0" borderId="0" xfId="0" applyNumberFormat="1" applyFont="1" applyProtection="1">
      <protection hidden="1"/>
    </xf>
    <xf numFmtId="0" fontId="2" fillId="0" borderId="15" xfId="0" applyFont="1" applyBorder="1" applyAlignment="1" applyProtection="1">
      <alignment horizontal="left" vertical="center"/>
      <protection hidden="1"/>
    </xf>
    <xf numFmtId="0" fontId="2" fillId="0" borderId="16" xfId="0" applyFont="1" applyBorder="1" applyAlignment="1" applyProtection="1">
      <alignment horizontal="left" vertical="center"/>
      <protection hidden="1"/>
    </xf>
    <xf numFmtId="0" fontId="2" fillId="0" borderId="0" xfId="0" applyFont="1" applyAlignment="1" applyProtection="1">
      <alignment horizontal="left" vertical="center"/>
      <protection hidden="1"/>
    </xf>
    <xf numFmtId="164" fontId="8" fillId="0" borderId="18" xfId="0" applyNumberFormat="1" applyFont="1" applyBorder="1" applyAlignment="1" applyProtection="1">
      <alignment horizontal="center" vertical="center"/>
      <protection hidden="1"/>
    </xf>
    <xf numFmtId="0" fontId="8" fillId="0" borderId="0" xfId="0" applyFont="1" applyBorder="1" applyAlignment="1" applyProtection="1">
      <alignment horizontal="left" vertical="center" indent="1"/>
      <protection hidden="1"/>
    </xf>
    <xf numFmtId="0" fontId="12" fillId="0" borderId="0" xfId="2" applyFont="1" applyBorder="1" applyAlignment="1" applyProtection="1">
      <alignment horizontal="left" vertical="center"/>
      <protection locked="0" hidden="1"/>
    </xf>
    <xf numFmtId="0" fontId="7" fillId="0" borderId="0" xfId="0" applyFont="1" applyBorder="1" applyAlignment="1" applyProtection="1">
      <alignment horizontal="left" vertical="center"/>
      <protection hidden="1"/>
    </xf>
    <xf numFmtId="0" fontId="8" fillId="0" borderId="0" xfId="0" applyFont="1"/>
    <xf numFmtId="0" fontId="8" fillId="0" borderId="0" xfId="0" applyFont="1" applyAlignment="1">
      <alignment vertical="center"/>
    </xf>
    <xf numFmtId="0" fontId="8" fillId="0" borderId="0" xfId="0" applyFont="1" applyAlignment="1">
      <alignment horizontal="left" vertical="center" indent="1"/>
    </xf>
    <xf numFmtId="0" fontId="8" fillId="0" borderId="21" xfId="0" applyFont="1" applyBorder="1" applyAlignment="1">
      <alignment horizontal="center" vertical="center"/>
    </xf>
    <xf numFmtId="0" fontId="8" fillId="0" borderId="12" xfId="0" applyFont="1" applyBorder="1"/>
    <xf numFmtId="0" fontId="8" fillId="0" borderId="13" xfId="0" applyFont="1" applyBorder="1"/>
    <xf numFmtId="0" fontId="8" fillId="0" borderId="14" xfId="0" applyFont="1" applyBorder="1"/>
    <xf numFmtId="0" fontId="8" fillId="0" borderId="15" xfId="0" applyFont="1" applyBorder="1"/>
    <xf numFmtId="0" fontId="8" fillId="0" borderId="16" xfId="0" applyFont="1" applyBorder="1"/>
    <xf numFmtId="0" fontId="8" fillId="0" borderId="0" xfId="0" applyFont="1" applyBorder="1"/>
    <xf numFmtId="0" fontId="8" fillId="0" borderId="15" xfId="0" applyFont="1" applyBorder="1" applyAlignment="1">
      <alignment vertical="center"/>
    </xf>
    <xf numFmtId="0" fontId="8" fillId="0" borderId="0" xfId="0" applyFont="1" applyBorder="1" applyAlignment="1">
      <alignment vertical="center"/>
    </xf>
    <xf numFmtId="0" fontId="8" fillId="0" borderId="16" xfId="0" applyFont="1" applyBorder="1" applyAlignment="1">
      <alignment vertical="center"/>
    </xf>
    <xf numFmtId="0" fontId="8" fillId="0" borderId="0" xfId="0" applyFont="1" applyBorder="1" applyAlignment="1">
      <alignment horizontal="left" vertical="center" indent="1"/>
    </xf>
    <xf numFmtId="0" fontId="8" fillId="0" borderId="17" xfId="0" applyFont="1" applyBorder="1"/>
    <xf numFmtId="0" fontId="8" fillId="0" borderId="18" xfId="0" applyFont="1" applyBorder="1"/>
    <xf numFmtId="0" fontId="8" fillId="0" borderId="19" xfId="0" applyFont="1" applyBorder="1"/>
    <xf numFmtId="0" fontId="10" fillId="3" borderId="0" xfId="0" applyFont="1" applyFill="1" applyAlignment="1">
      <alignment vertical="center"/>
    </xf>
    <xf numFmtId="0" fontId="10" fillId="3" borderId="0" xfId="0" applyFont="1" applyFill="1" applyBorder="1" applyAlignment="1">
      <alignment vertical="center"/>
    </xf>
    <xf numFmtId="0" fontId="14" fillId="0" borderId="0" xfId="0" applyFont="1" applyBorder="1" applyAlignment="1">
      <alignment vertical="center"/>
    </xf>
    <xf numFmtId="0" fontId="8" fillId="0" borderId="0" xfId="0" applyFont="1" applyAlignment="1">
      <alignment horizontal="center"/>
    </xf>
    <xf numFmtId="0" fontId="7" fillId="0" borderId="0" xfId="0" applyFont="1" applyAlignment="1">
      <alignment horizontal="left"/>
    </xf>
    <xf numFmtId="0" fontId="8" fillId="0" borderId="0" xfId="0" applyFont="1" applyAlignment="1">
      <alignment horizontal="left"/>
    </xf>
    <xf numFmtId="0" fontId="7" fillId="2" borderId="0" xfId="0" applyFont="1" applyFill="1" applyAlignment="1">
      <alignment horizontal="left" vertical="center"/>
    </xf>
    <xf numFmtId="0" fontId="8" fillId="2" borderId="0" xfId="0" applyFont="1" applyFill="1" applyAlignment="1">
      <alignment vertical="center"/>
    </xf>
    <xf numFmtId="0" fontId="8" fillId="2" borderId="0" xfId="0" applyFont="1" applyFill="1" applyAlignment="1">
      <alignment vertical="center" wrapText="1"/>
    </xf>
    <xf numFmtId="0" fontId="8" fillId="0" borderId="1" xfId="0" applyFont="1" applyBorder="1" applyAlignment="1">
      <alignment horizontal="left" indent="1"/>
    </xf>
    <xf numFmtId="164" fontId="8" fillId="5" borderId="21" xfId="1" applyNumberFormat="1" applyFont="1" applyFill="1" applyBorder="1"/>
    <xf numFmtId="164" fontId="8" fillId="7" borderId="21" xfId="1" applyNumberFormat="1" applyFont="1" applyFill="1" applyBorder="1"/>
    <xf numFmtId="164" fontId="6" fillId="8" borderId="21" xfId="1" applyNumberFormat="1" applyFont="1" applyFill="1" applyBorder="1"/>
    <xf numFmtId="164" fontId="15" fillId="0" borderId="21" xfId="1" applyNumberFormat="1" applyFont="1" applyFill="1" applyBorder="1"/>
    <xf numFmtId="0" fontId="8" fillId="0" borderId="1" xfId="0" applyFont="1" applyFill="1" applyBorder="1" applyAlignment="1">
      <alignment horizontal="left" indent="1"/>
    </xf>
    <xf numFmtId="165" fontId="8" fillId="5" borderId="21" xfId="0" applyNumberFormat="1" applyFont="1" applyFill="1" applyBorder="1"/>
    <xf numFmtId="165" fontId="8" fillId="7" borderId="21" xfId="0" applyNumberFormat="1" applyFont="1" applyFill="1" applyBorder="1"/>
    <xf numFmtId="165" fontId="6" fillId="8" borderId="21" xfId="1" applyNumberFormat="1" applyFont="1" applyFill="1" applyBorder="1" applyAlignment="1">
      <alignment horizontal="right"/>
    </xf>
    <xf numFmtId="165" fontId="15" fillId="0" borderId="21" xfId="1" applyNumberFormat="1" applyFont="1" applyFill="1" applyBorder="1" applyAlignment="1">
      <alignment horizontal="right"/>
    </xf>
    <xf numFmtId="3" fontId="8" fillId="0" borderId="0" xfId="0" applyNumberFormat="1" applyFont="1" applyAlignment="1">
      <alignment horizontal="center"/>
    </xf>
    <xf numFmtId="0" fontId="8" fillId="0" borderId="0" xfId="0" applyFont="1" applyFill="1" applyAlignment="1">
      <alignment horizontal="center"/>
    </xf>
    <xf numFmtId="0" fontId="8" fillId="0" borderId="0" xfId="0" quotePrefix="1" applyFont="1"/>
    <xf numFmtId="166" fontId="8" fillId="5" borderId="21" xfId="0" applyNumberFormat="1" applyFont="1" applyFill="1" applyBorder="1"/>
    <xf numFmtId="166" fontId="8" fillId="7" borderId="21" xfId="0" applyNumberFormat="1" applyFont="1" applyFill="1" applyBorder="1"/>
    <xf numFmtId="166" fontId="6" fillId="8" borderId="21" xfId="1" applyNumberFormat="1" applyFont="1" applyFill="1" applyBorder="1"/>
    <xf numFmtId="166" fontId="15" fillId="0" borderId="21" xfId="1" applyNumberFormat="1" applyFont="1" applyFill="1" applyBorder="1"/>
    <xf numFmtId="167" fontId="8" fillId="4" borderId="21" xfId="0" applyNumberFormat="1" applyFont="1" applyFill="1" applyBorder="1" applyAlignment="1" applyProtection="1">
      <alignment horizontal="right" vertical="center" indent="1"/>
      <protection locked="0"/>
    </xf>
    <xf numFmtId="166" fontId="8" fillId="4" borderId="21" xfId="0" applyNumberFormat="1" applyFont="1" applyFill="1" applyBorder="1" applyAlignment="1" applyProtection="1">
      <alignment horizontal="right" vertical="center" indent="1"/>
      <protection locked="0"/>
    </xf>
    <xf numFmtId="3" fontId="8" fillId="4" borderId="21" xfId="0" applyNumberFormat="1" applyFont="1" applyFill="1" applyBorder="1" applyAlignment="1" applyProtection="1">
      <alignment horizontal="right" vertical="center" indent="1"/>
      <protection locked="0"/>
    </xf>
    <xf numFmtId="0" fontId="8" fillId="0" borderId="4" xfId="0" applyFont="1" applyBorder="1" applyProtection="1">
      <protection hidden="1"/>
    </xf>
    <xf numFmtId="0" fontId="7" fillId="0" borderId="6" xfId="0" applyFont="1" applyBorder="1" applyAlignment="1" applyProtection="1">
      <alignment horizontal="right" indent="1"/>
      <protection hidden="1"/>
    </xf>
    <xf numFmtId="0" fontId="7" fillId="0" borderId="5" xfId="0" applyFont="1" applyBorder="1" applyAlignment="1" applyProtection="1">
      <alignment horizontal="right" indent="1"/>
      <protection hidden="1"/>
    </xf>
    <xf numFmtId="0" fontId="8" fillId="0" borderId="5" xfId="0" applyFont="1" applyBorder="1" applyProtection="1">
      <protection hidden="1"/>
    </xf>
    <xf numFmtId="0" fontId="7" fillId="0" borderId="9" xfId="0" applyFont="1" applyBorder="1" applyProtection="1">
      <protection hidden="1"/>
    </xf>
    <xf numFmtId="0" fontId="8" fillId="0" borderId="11" xfId="0" applyFont="1" applyBorder="1" applyProtection="1">
      <protection hidden="1"/>
    </xf>
    <xf numFmtId="0" fontId="8" fillId="0" borderId="10" xfId="0" applyFont="1" applyBorder="1" applyProtection="1">
      <protection hidden="1"/>
    </xf>
    <xf numFmtId="0" fontId="7" fillId="0" borderId="10" xfId="0" applyFont="1" applyBorder="1" applyProtection="1">
      <protection hidden="1"/>
    </xf>
    <xf numFmtId="0" fontId="8" fillId="0" borderId="4" xfId="0" applyFont="1" applyFill="1" applyBorder="1" applyProtection="1">
      <protection hidden="1"/>
    </xf>
    <xf numFmtId="0" fontId="7" fillId="0" borderId="5" xfId="0" applyFont="1" applyFill="1" applyBorder="1" applyAlignment="1" applyProtection="1">
      <alignment horizontal="right" indent="1"/>
      <protection hidden="1"/>
    </xf>
    <xf numFmtId="0" fontId="8" fillId="0" borderId="5" xfId="0" applyFont="1" applyFill="1" applyBorder="1" applyProtection="1">
      <protection hidden="1"/>
    </xf>
    <xf numFmtId="0" fontId="7" fillId="0" borderId="6" xfId="0" applyFont="1" applyFill="1" applyBorder="1" applyAlignment="1" applyProtection="1">
      <alignment horizontal="right" indent="1"/>
      <protection hidden="1"/>
    </xf>
    <xf numFmtId="0" fontId="8" fillId="0" borderId="9" xfId="0" applyFont="1" applyBorder="1" applyProtection="1">
      <protection hidden="1"/>
    </xf>
    <xf numFmtId="0" fontId="8" fillId="0" borderId="0" xfId="0" applyFont="1" applyFill="1" applyProtection="1">
      <protection hidden="1"/>
    </xf>
    <xf numFmtId="0" fontId="8" fillId="0" borderId="11" xfId="0" applyFont="1" applyFill="1" applyBorder="1" applyProtection="1">
      <protection hidden="1"/>
    </xf>
    <xf numFmtId="0" fontId="8" fillId="0" borderId="9" xfId="0" applyFont="1" applyFill="1" applyBorder="1" applyProtection="1">
      <protection hidden="1"/>
    </xf>
    <xf numFmtId="0" fontId="8" fillId="0" borderId="10" xfId="0" applyFont="1" applyFill="1" applyBorder="1" applyProtection="1">
      <protection hidden="1"/>
    </xf>
    <xf numFmtId="0" fontId="7" fillId="0" borderId="10" xfId="0" applyFont="1" applyFill="1" applyBorder="1" applyProtection="1">
      <protection hidden="1"/>
    </xf>
    <xf numFmtId="166" fontId="7" fillId="0" borderId="6" xfId="0" applyNumberFormat="1" applyFont="1" applyBorder="1" applyAlignment="1" applyProtection="1">
      <alignment horizontal="right" indent="1"/>
      <protection hidden="1"/>
    </xf>
    <xf numFmtId="166" fontId="7" fillId="0" borderId="5" xfId="0" applyNumberFormat="1" applyFont="1" applyBorder="1" applyAlignment="1" applyProtection="1">
      <alignment horizontal="right" indent="1"/>
      <protection hidden="1"/>
    </xf>
    <xf numFmtId="166" fontId="7" fillId="0" borderId="11" xfId="0" applyNumberFormat="1" applyFont="1" applyBorder="1" applyAlignment="1" applyProtection="1">
      <alignment horizontal="right" indent="1"/>
      <protection hidden="1"/>
    </xf>
    <xf numFmtId="166" fontId="7" fillId="0" borderId="10" xfId="0" applyNumberFormat="1" applyFont="1" applyBorder="1" applyAlignment="1" applyProtection="1">
      <alignment horizontal="right" indent="1"/>
      <protection hidden="1"/>
    </xf>
    <xf numFmtId="164" fontId="7" fillId="0" borderId="6" xfId="0" applyNumberFormat="1" applyFont="1" applyBorder="1" applyAlignment="1" applyProtection="1">
      <alignment horizontal="right" indent="1"/>
      <protection hidden="1"/>
    </xf>
    <xf numFmtId="164" fontId="7" fillId="0" borderId="5" xfId="0" applyNumberFormat="1" applyFont="1" applyBorder="1" applyAlignment="1" applyProtection="1">
      <alignment horizontal="right" indent="1"/>
      <protection hidden="1"/>
    </xf>
    <xf numFmtId="164" fontId="7" fillId="0" borderId="10" xfId="0" applyNumberFormat="1" applyFont="1" applyBorder="1" applyAlignment="1" applyProtection="1">
      <alignment horizontal="right" indent="1"/>
      <protection hidden="1"/>
    </xf>
    <xf numFmtId="165" fontId="7" fillId="0" borderId="6" xfId="0" applyNumberFormat="1" applyFont="1" applyBorder="1" applyAlignment="1" applyProtection="1">
      <alignment horizontal="right" indent="1"/>
      <protection hidden="1"/>
    </xf>
    <xf numFmtId="165" fontId="7" fillId="0" borderId="5" xfId="0" applyNumberFormat="1" applyFont="1" applyBorder="1" applyAlignment="1" applyProtection="1">
      <alignment horizontal="right" indent="1"/>
      <protection hidden="1"/>
    </xf>
    <xf numFmtId="165" fontId="7" fillId="0" borderId="11" xfId="0" applyNumberFormat="1" applyFont="1" applyBorder="1" applyAlignment="1" applyProtection="1">
      <alignment horizontal="right" indent="1"/>
      <protection hidden="1"/>
    </xf>
    <xf numFmtId="165" fontId="7" fillId="0" borderId="10" xfId="0" applyNumberFormat="1" applyFont="1" applyBorder="1" applyAlignment="1" applyProtection="1">
      <alignment horizontal="right" indent="1"/>
      <protection hidden="1"/>
    </xf>
    <xf numFmtId="0" fontId="8" fillId="0" borderId="0" xfId="0" applyFont="1" applyAlignment="1" applyProtection="1">
      <alignment horizontal="right"/>
      <protection hidden="1"/>
    </xf>
    <xf numFmtId="2" fontId="7" fillId="0" borderId="6" xfId="0" applyNumberFormat="1" applyFont="1" applyFill="1" applyBorder="1" applyAlignment="1" applyProtection="1">
      <alignment horizontal="right" indent="1"/>
      <protection hidden="1"/>
    </xf>
    <xf numFmtId="2" fontId="7" fillId="0" borderId="5" xfId="0" applyNumberFormat="1" applyFont="1" applyFill="1" applyBorder="1" applyAlignment="1" applyProtection="1">
      <alignment horizontal="right" indent="1"/>
      <protection hidden="1"/>
    </xf>
    <xf numFmtId="2" fontId="7" fillId="0" borderId="11" xfId="0" applyNumberFormat="1" applyFont="1" applyFill="1" applyBorder="1" applyAlignment="1" applyProtection="1">
      <alignment horizontal="right" indent="1"/>
      <protection hidden="1"/>
    </xf>
    <xf numFmtId="2" fontId="7" fillId="0" borderId="10" xfId="0" applyNumberFormat="1" applyFont="1" applyFill="1" applyBorder="1" applyAlignment="1" applyProtection="1">
      <alignment horizontal="right" indent="1"/>
      <protection hidden="1"/>
    </xf>
    <xf numFmtId="0" fontId="7" fillId="0" borderId="11" xfId="0" applyFont="1" applyFill="1" applyBorder="1" applyProtection="1">
      <protection hidden="1"/>
    </xf>
    <xf numFmtId="0" fontId="8" fillId="0" borderId="6" xfId="0" applyFont="1" applyBorder="1" applyProtection="1">
      <protection hidden="1"/>
    </xf>
    <xf numFmtId="164" fontId="7" fillId="0" borderId="5" xfId="0" applyNumberFormat="1" applyFont="1" applyFill="1" applyBorder="1" applyAlignment="1" applyProtection="1">
      <alignment horizontal="right" indent="1"/>
      <protection hidden="1"/>
    </xf>
    <xf numFmtId="164" fontId="7" fillId="0" borderId="11" xfId="0" applyNumberFormat="1" applyFont="1" applyBorder="1" applyAlignment="1" applyProtection="1">
      <alignment horizontal="right" indent="1"/>
      <protection hidden="1"/>
    </xf>
    <xf numFmtId="0" fontId="8" fillId="0" borderId="0" xfId="0" quotePrefix="1" applyFont="1" applyFill="1" applyAlignment="1" applyProtection="1">
      <alignment horizontal="left" indent="1"/>
      <protection hidden="1"/>
    </xf>
    <xf numFmtId="0" fontId="12" fillId="0" borderId="21" xfId="2" applyFont="1" applyBorder="1" applyAlignment="1" applyProtection="1">
      <alignment horizontal="left" vertical="center" wrapText="1"/>
      <protection locked="0" hidden="1"/>
    </xf>
    <xf numFmtId="0" fontId="7" fillId="0" borderId="5" xfId="0" applyFont="1" applyBorder="1" applyProtection="1">
      <protection hidden="1"/>
    </xf>
    <xf numFmtId="0" fontId="7" fillId="0" borderId="6" xfId="0" applyFont="1" applyBorder="1" applyProtection="1">
      <protection hidden="1"/>
    </xf>
    <xf numFmtId="164" fontId="7" fillId="0" borderId="6" xfId="0" applyNumberFormat="1" applyFont="1" applyBorder="1" applyAlignment="1" applyProtection="1">
      <alignment horizontal="right" wrapText="1" indent="1"/>
      <protection hidden="1"/>
    </xf>
    <xf numFmtId="0" fontId="8" fillId="0" borderId="0" xfId="0" applyFont="1" applyFill="1" applyBorder="1" applyAlignment="1" applyProtection="1">
      <alignment horizontal="left" vertical="center" indent="1"/>
      <protection hidden="1"/>
    </xf>
    <xf numFmtId="0" fontId="3" fillId="3" borderId="0" xfId="0" applyFont="1" applyFill="1" applyBorder="1" applyAlignment="1" applyProtection="1">
      <alignment horizontal="center" vertical="center"/>
      <protection hidden="1"/>
    </xf>
    <xf numFmtId="0" fontId="10" fillId="3" borderId="0" xfId="0" applyFont="1" applyFill="1" applyBorder="1" applyAlignment="1" applyProtection="1">
      <alignment vertical="center"/>
      <protection hidden="1"/>
    </xf>
    <xf numFmtId="0" fontId="16" fillId="0" borderId="0" xfId="0" applyFont="1" applyBorder="1" applyAlignment="1" applyProtection="1">
      <alignment horizontal="right" vertical="center"/>
      <protection hidden="1"/>
    </xf>
    <xf numFmtId="164" fontId="8" fillId="4" borderId="21" xfId="1" applyNumberFormat="1" applyFont="1" applyFill="1" applyBorder="1" applyAlignment="1" applyProtection="1">
      <alignment horizontal="right" vertical="center" indent="1"/>
      <protection locked="0" hidden="1"/>
    </xf>
    <xf numFmtId="164" fontId="8" fillId="4" borderId="21" xfId="0" applyNumberFormat="1" applyFont="1" applyFill="1" applyBorder="1" applyAlignment="1" applyProtection="1">
      <alignment horizontal="right" vertical="center" indent="1"/>
      <protection locked="0" hidden="1"/>
    </xf>
    <xf numFmtId="166" fontId="8" fillId="4" borderId="21" xfId="0" applyNumberFormat="1" applyFont="1" applyFill="1" applyBorder="1" applyAlignment="1" applyProtection="1">
      <alignment horizontal="right" vertical="center" indent="1"/>
      <protection locked="0" hidden="1"/>
    </xf>
    <xf numFmtId="165" fontId="8" fillId="4" borderId="21" xfId="0" applyNumberFormat="1" applyFont="1" applyFill="1" applyBorder="1" applyAlignment="1" applyProtection="1">
      <alignment horizontal="right" vertical="center" indent="1"/>
      <protection locked="0" hidden="1"/>
    </xf>
    <xf numFmtId="2" fontId="8" fillId="4" borderId="21" xfId="0" applyNumberFormat="1" applyFont="1" applyFill="1" applyBorder="1" applyAlignment="1" applyProtection="1">
      <alignment horizontal="right" vertical="center" indent="1"/>
      <protection locked="0" hidden="1"/>
    </xf>
    <xf numFmtId="0" fontId="6" fillId="0" borderId="21" xfId="0" applyFont="1" applyFill="1" applyBorder="1" applyAlignment="1" applyProtection="1">
      <alignment horizontal="center" vertical="center" wrapText="1"/>
      <protection hidden="1"/>
    </xf>
    <xf numFmtId="0" fontId="8" fillId="0" borderId="0" xfId="0" applyFont="1" applyAlignment="1" applyProtection="1">
      <alignment horizontal="left" wrapText="1"/>
      <protection hidden="1"/>
    </xf>
    <xf numFmtId="0" fontId="10" fillId="3" borderId="0" xfId="0" applyFont="1" applyFill="1" applyBorder="1" applyAlignment="1" applyProtection="1">
      <alignment vertical="center"/>
      <protection hidden="1"/>
    </xf>
    <xf numFmtId="0" fontId="10" fillId="3" borderId="0" xfId="0" applyFont="1" applyFill="1" applyBorder="1" applyAlignment="1" applyProtection="1">
      <alignment horizontal="left" vertical="center"/>
      <protection hidden="1"/>
    </xf>
    <xf numFmtId="0" fontId="8" fillId="4" borderId="21" xfId="0" applyNumberFormat="1" applyFont="1" applyFill="1" applyBorder="1" applyAlignment="1" applyProtection="1">
      <alignment horizontal="center" vertical="center"/>
      <protection locked="0" hidden="1"/>
    </xf>
    <xf numFmtId="0" fontId="2" fillId="0" borderId="15" xfId="0" applyFont="1" applyBorder="1" applyAlignment="1" applyProtection="1">
      <alignment vertical="top"/>
      <protection hidden="1"/>
    </xf>
    <xf numFmtId="0" fontId="2" fillId="0" borderId="16" xfId="0" applyFont="1" applyBorder="1" applyAlignment="1" applyProtection="1">
      <alignment vertical="top"/>
      <protection hidden="1"/>
    </xf>
    <xf numFmtId="0" fontId="2" fillId="0" borderId="0" xfId="0" applyFont="1" applyAlignment="1" applyProtection="1">
      <alignment vertical="top"/>
      <protection hidden="1"/>
    </xf>
    <xf numFmtId="0" fontId="8" fillId="0" borderId="0" xfId="0" applyFont="1" applyAlignment="1"/>
    <xf numFmtId="0" fontId="24" fillId="0" borderId="15" xfId="0" applyFont="1" applyBorder="1" applyProtection="1">
      <protection hidden="1"/>
    </xf>
    <xf numFmtId="0" fontId="24" fillId="0" borderId="0" xfId="0" applyFont="1" applyBorder="1" applyProtection="1">
      <protection hidden="1"/>
    </xf>
    <xf numFmtId="0" fontId="24" fillId="0" borderId="16" xfId="0" applyFont="1" applyBorder="1" applyProtection="1">
      <protection hidden="1"/>
    </xf>
    <xf numFmtId="0" fontId="24" fillId="0" borderId="0" xfId="0" applyFont="1" applyProtection="1">
      <protection hidden="1"/>
    </xf>
    <xf numFmtId="0" fontId="19" fillId="0" borderId="15" xfId="0" applyFont="1" applyBorder="1"/>
    <xf numFmtId="0" fontId="19" fillId="0" borderId="0" xfId="0" applyFont="1" applyBorder="1"/>
    <xf numFmtId="0" fontId="19" fillId="0" borderId="0" xfId="0" applyFont="1" applyAlignment="1">
      <alignment horizontal="left"/>
    </xf>
    <xf numFmtId="0" fontId="19" fillId="0" borderId="16" xfId="0" applyFont="1" applyBorder="1"/>
    <xf numFmtId="0" fontId="19" fillId="0" borderId="0" xfId="0" applyFont="1"/>
    <xf numFmtId="0" fontId="25" fillId="10" borderId="0" xfId="0" applyFont="1" applyFill="1"/>
    <xf numFmtId="0" fontId="24" fillId="10" borderId="0" xfId="0" applyFont="1" applyFill="1"/>
    <xf numFmtId="0" fontId="2" fillId="0" borderId="0" xfId="0" applyFont="1" applyFill="1" applyAlignment="1">
      <alignment horizontal="left"/>
    </xf>
    <xf numFmtId="0" fontId="2" fillId="0" borderId="0" xfId="0" applyFont="1" applyFill="1"/>
    <xf numFmtId="164" fontId="2" fillId="0" borderId="21" xfId="1" applyNumberFormat="1" applyFont="1" applyFill="1" applyBorder="1"/>
    <xf numFmtId="164" fontId="26" fillId="0" borderId="21" xfId="1" applyNumberFormat="1" applyFont="1" applyFill="1" applyBorder="1"/>
    <xf numFmtId="164" fontId="27" fillId="0" borderId="21" xfId="1" applyNumberFormat="1" applyFont="1" applyFill="1" applyBorder="1"/>
    <xf numFmtId="165" fontId="2" fillId="0" borderId="21" xfId="0" applyNumberFormat="1" applyFont="1" applyFill="1" applyBorder="1"/>
    <xf numFmtId="165" fontId="26" fillId="0" borderId="21" xfId="1" applyNumberFormat="1" applyFont="1" applyFill="1" applyBorder="1" applyAlignment="1">
      <alignment horizontal="right"/>
    </xf>
    <xf numFmtId="165" fontId="27" fillId="0" borderId="21" xfId="1" applyNumberFormat="1" applyFont="1" applyFill="1" applyBorder="1" applyAlignment="1">
      <alignment horizontal="right"/>
    </xf>
    <xf numFmtId="166" fontId="2" fillId="0" borderId="21" xfId="0" applyNumberFormat="1" applyFont="1" applyFill="1" applyBorder="1"/>
    <xf numFmtId="166" fontId="27" fillId="0" borderId="21" xfId="0" applyNumberFormat="1" applyFont="1" applyFill="1" applyBorder="1"/>
    <xf numFmtId="0" fontId="2" fillId="0" borderId="21" xfId="0" applyFont="1" applyFill="1" applyBorder="1" applyAlignment="1">
      <alignment horizontal="left"/>
    </xf>
    <xf numFmtId="0" fontId="2" fillId="0" borderId="21" xfId="0" applyFont="1" applyFill="1" applyBorder="1"/>
    <xf numFmtId="0" fontId="2" fillId="0" borderId="3" xfId="0" applyFont="1" applyFill="1" applyBorder="1" applyAlignment="1">
      <alignment horizontal="left"/>
    </xf>
    <xf numFmtId="0" fontId="18" fillId="0" borderId="0" xfId="0" applyFont="1" applyFill="1"/>
    <xf numFmtId="0" fontId="4" fillId="0" borderId="0" xfId="0" applyFont="1" applyFill="1"/>
    <xf numFmtId="0" fontId="26" fillId="0" borderId="0" xfId="0" applyFont="1" applyProtection="1">
      <protection hidden="1"/>
    </xf>
    <xf numFmtId="0" fontId="26" fillId="0" borderId="15" xfId="0" applyFont="1" applyBorder="1" applyProtection="1">
      <protection hidden="1"/>
    </xf>
    <xf numFmtId="0" fontId="26" fillId="0" borderId="16" xfId="0" applyFont="1" applyBorder="1" applyProtection="1">
      <protection hidden="1"/>
    </xf>
    <xf numFmtId="0" fontId="8" fillId="0" borderId="4" xfId="0" applyFont="1" applyBorder="1" applyAlignment="1" applyProtection="1">
      <alignment horizontal="right"/>
      <protection hidden="1"/>
    </xf>
    <xf numFmtId="0" fontId="8" fillId="0" borderId="5" xfId="0" applyFont="1" applyBorder="1" applyAlignment="1" applyProtection="1">
      <alignment horizontal="right"/>
      <protection hidden="1"/>
    </xf>
    <xf numFmtId="0" fontId="8" fillId="0" borderId="11" xfId="0" applyFont="1" applyBorder="1" applyAlignment="1" applyProtection="1">
      <alignment horizontal="right"/>
      <protection hidden="1"/>
    </xf>
    <xf numFmtId="0" fontId="8" fillId="0" borderId="9" xfId="0" applyFont="1" applyBorder="1" applyAlignment="1" applyProtection="1">
      <alignment horizontal="right"/>
      <protection hidden="1"/>
    </xf>
    <xf numFmtId="0" fontId="8" fillId="0" borderId="10" xfId="0" applyFont="1" applyBorder="1" applyAlignment="1" applyProtection="1">
      <alignment horizontal="right"/>
      <protection hidden="1"/>
    </xf>
    <xf numFmtId="0" fontId="8" fillId="0" borderId="10" xfId="0" applyFont="1" applyFill="1" applyBorder="1" applyAlignment="1" applyProtection="1">
      <alignment horizontal="right"/>
      <protection hidden="1"/>
    </xf>
    <xf numFmtId="0" fontId="8" fillId="0" borderId="0" xfId="0" applyFont="1" applyFill="1" applyAlignment="1" applyProtection="1">
      <alignment horizontal="right"/>
      <protection hidden="1"/>
    </xf>
    <xf numFmtId="0" fontId="2" fillId="0" borderId="21" xfId="0" applyFont="1" applyFill="1" applyBorder="1" applyAlignment="1">
      <alignment horizontal="right"/>
    </xf>
    <xf numFmtId="0" fontId="10" fillId="3" borderId="0" xfId="0" applyFont="1" applyFill="1" applyBorder="1" applyAlignment="1" applyProtection="1">
      <alignment horizontal="left" vertical="center"/>
      <protection hidden="1"/>
    </xf>
    <xf numFmtId="0" fontId="12" fillId="0" borderId="21" xfId="2" applyFont="1" applyFill="1" applyBorder="1" applyAlignment="1" applyProtection="1">
      <alignment horizontal="center" vertical="center"/>
      <protection locked="0" hidden="1"/>
    </xf>
    <xf numFmtId="0" fontId="8" fillId="0" borderId="0" xfId="0" applyFont="1" applyBorder="1" applyProtection="1">
      <protection locked="0"/>
    </xf>
    <xf numFmtId="0" fontId="8" fillId="0" borderId="0" xfId="0" applyFont="1" applyBorder="1" applyAlignment="1" applyProtection="1">
      <alignment vertical="center"/>
      <protection locked="0"/>
    </xf>
    <xf numFmtId="0" fontId="16" fillId="0" borderId="0" xfId="0" applyFont="1" applyBorder="1" applyAlignment="1" applyProtection="1">
      <alignment horizontal="right" vertical="center"/>
      <protection locked="0"/>
    </xf>
    <xf numFmtId="0" fontId="10" fillId="3" borderId="0" xfId="0" applyFont="1" applyFill="1" applyBorder="1" applyAlignment="1" applyProtection="1">
      <alignment horizontal="left" vertical="center"/>
      <protection locked="0" hidden="1"/>
    </xf>
    <xf numFmtId="0" fontId="8" fillId="0" borderId="0" xfId="0" applyFont="1" applyBorder="1" applyProtection="1">
      <protection locked="0" hidden="1"/>
    </xf>
    <xf numFmtId="0" fontId="2" fillId="0" borderId="0" xfId="0" applyFont="1" applyProtection="1"/>
    <xf numFmtId="0" fontId="7" fillId="0" borderId="1" xfId="0" applyFont="1" applyBorder="1" applyAlignment="1" applyProtection="1">
      <alignment vertical="center"/>
    </xf>
    <xf numFmtId="0" fontId="7" fillId="0" borderId="1" xfId="0" applyFont="1" applyBorder="1" applyAlignment="1" applyProtection="1">
      <alignment vertical="center" wrapText="1"/>
    </xf>
    <xf numFmtId="0" fontId="8" fillId="0" borderId="3" xfId="0" applyFont="1" applyBorder="1" applyAlignment="1">
      <alignment horizontal="left" vertical="center" indent="1"/>
    </xf>
    <xf numFmtId="0" fontId="6" fillId="0" borderId="0" xfId="2" applyFont="1" applyBorder="1" applyAlignment="1">
      <alignment wrapText="1"/>
    </xf>
    <xf numFmtId="0" fontId="8" fillId="0" borderId="0" xfId="0" applyFont="1" applyAlignment="1" applyProtection="1">
      <alignment horizontal="left" vertical="top" wrapText="1" indent="2"/>
      <protection hidden="1"/>
    </xf>
    <xf numFmtId="0" fontId="7" fillId="0" borderId="0" xfId="0"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164" fontId="2" fillId="0" borderId="0" xfId="0" applyNumberFormat="1" applyFont="1" applyAlignment="1" applyProtection="1">
      <alignment horizontal="right" vertical="center" indent="1"/>
      <protection hidden="1"/>
    </xf>
    <xf numFmtId="164" fontId="2" fillId="0" borderId="0" xfId="0" applyNumberFormat="1" applyFont="1" applyAlignment="1" applyProtection="1">
      <alignment horizontal="right" indent="1"/>
      <protection hidden="1"/>
    </xf>
    <xf numFmtId="0" fontId="2" fillId="0" borderId="0" xfId="0" applyFont="1" applyAlignment="1" applyProtection="1">
      <alignment horizontal="center" vertical="center"/>
      <protection hidden="1"/>
    </xf>
    <xf numFmtId="0" fontId="8" fillId="0" borderId="0" xfId="0" applyFont="1" applyAlignment="1" applyProtection="1">
      <alignment wrapText="1"/>
      <protection hidden="1"/>
    </xf>
    <xf numFmtId="0" fontId="8" fillId="0" borderId="0" xfId="0" applyFont="1" applyAlignment="1" applyProtection="1">
      <alignment horizontal="center" wrapText="1"/>
      <protection hidden="1"/>
    </xf>
    <xf numFmtId="0" fontId="8" fillId="0" borderId="0" xfId="0" applyFont="1" applyAlignment="1" applyProtection="1">
      <alignment horizontal="center" vertical="center" wrapText="1"/>
      <protection hidden="1"/>
    </xf>
    <xf numFmtId="0" fontId="8" fillId="0" borderId="0" xfId="0" applyFont="1" applyAlignment="1" applyProtection="1">
      <alignment horizontal="right" indent="1"/>
      <protection hidden="1"/>
    </xf>
    <xf numFmtId="164" fontId="8" fillId="0" borderId="0" xfId="0" applyNumberFormat="1" applyFont="1" applyAlignment="1" applyProtection="1">
      <alignment horizontal="right" indent="1"/>
      <protection hidden="1"/>
    </xf>
    <xf numFmtId="0" fontId="9" fillId="0" borderId="0" xfId="0" applyFont="1" applyAlignment="1" applyProtection="1">
      <alignment horizontal="center"/>
      <protection hidden="1"/>
    </xf>
    <xf numFmtId="164" fontId="11" fillId="0" borderId="0" xfId="2" applyNumberFormat="1" applyAlignment="1" applyProtection="1">
      <alignment horizontal="right" indent="1"/>
      <protection hidden="1"/>
    </xf>
    <xf numFmtId="0" fontId="2" fillId="0" borderId="0" xfId="0" applyFont="1" applyAlignment="1" applyProtection="1">
      <alignment vertical="center" wrapText="1"/>
      <protection hidden="1"/>
    </xf>
    <xf numFmtId="0" fontId="2" fillId="0" borderId="0" xfId="0" applyFont="1" applyFill="1" applyBorder="1" applyAlignment="1">
      <alignment horizontal="left"/>
    </xf>
    <xf numFmtId="0" fontId="2" fillId="0" borderId="0" xfId="0" applyFont="1" applyFill="1" applyBorder="1"/>
    <xf numFmtId="0" fontId="25" fillId="0" borderId="0" xfId="0" applyFont="1" applyFill="1"/>
    <xf numFmtId="0" fontId="8" fillId="0" borderId="0" xfId="0" applyFont="1" applyAlignment="1" applyProtection="1">
      <alignment vertical="top" wrapText="1"/>
      <protection hidden="1"/>
    </xf>
    <xf numFmtId="0" fontId="7" fillId="4" borderId="21" xfId="0" applyFont="1" applyFill="1" applyBorder="1" applyAlignment="1" applyProtection="1">
      <alignment horizontal="left" vertical="center" indent="1"/>
      <protection locked="0"/>
    </xf>
    <xf numFmtId="0" fontId="8" fillId="4" borderId="21" xfId="0" applyFont="1" applyFill="1" applyBorder="1" applyAlignment="1" applyProtection="1">
      <alignment horizontal="left" vertical="center" indent="1"/>
      <protection locked="0"/>
    </xf>
    <xf numFmtId="164" fontId="8" fillId="4" borderId="21" xfId="1" applyNumberFormat="1" applyFont="1" applyFill="1" applyBorder="1" applyAlignment="1" applyProtection="1">
      <alignment horizontal="left" vertical="center" indent="1"/>
      <protection locked="0"/>
    </xf>
    <xf numFmtId="0" fontId="8" fillId="4" borderId="21" xfId="0" applyNumberFormat="1" applyFont="1" applyFill="1" applyBorder="1" applyAlignment="1" applyProtection="1">
      <alignment horizontal="center" vertical="center" wrapText="1"/>
      <protection locked="0" hidden="1"/>
    </xf>
    <xf numFmtId="0" fontId="12" fillId="0" borderId="21" xfId="2" applyFont="1" applyBorder="1" applyAlignment="1" applyProtection="1">
      <alignment horizontal="center" vertical="center"/>
      <protection locked="0" hidden="1"/>
    </xf>
    <xf numFmtId="0" fontId="8" fillId="9" borderId="7" xfId="0" applyFont="1" applyFill="1" applyBorder="1" applyAlignment="1" applyProtection="1">
      <alignment horizontal="left" vertical="center" indent="1"/>
      <protection hidden="1"/>
    </xf>
    <xf numFmtId="0" fontId="8" fillId="9" borderId="0" xfId="0" applyFont="1" applyFill="1" applyBorder="1" applyAlignment="1" applyProtection="1">
      <alignment horizontal="left" indent="1"/>
      <protection hidden="1"/>
    </xf>
    <xf numFmtId="0" fontId="8" fillId="9" borderId="8" xfId="0" applyFont="1" applyFill="1" applyBorder="1" applyAlignment="1" applyProtection="1">
      <alignment horizontal="left" indent="1"/>
      <protection hidden="1"/>
    </xf>
    <xf numFmtId="0" fontId="8" fillId="9" borderId="7" xfId="0" applyFont="1" applyFill="1" applyBorder="1" applyAlignment="1" applyProtection="1">
      <alignment vertical="center"/>
      <protection hidden="1"/>
    </xf>
    <xf numFmtId="0" fontId="8" fillId="9" borderId="0" xfId="0" applyFont="1" applyFill="1" applyBorder="1" applyProtection="1">
      <protection hidden="1"/>
    </xf>
    <xf numFmtId="0" fontId="8" fillId="9" borderId="8" xfId="0" applyFont="1" applyFill="1" applyBorder="1" applyProtection="1">
      <protection hidden="1"/>
    </xf>
    <xf numFmtId="0" fontId="26" fillId="9" borderId="7" xfId="0" applyFont="1" applyFill="1" applyBorder="1" applyProtection="1">
      <protection hidden="1"/>
    </xf>
    <xf numFmtId="0" fontId="28" fillId="9" borderId="0" xfId="0" applyFont="1" applyFill="1" applyBorder="1" applyAlignment="1">
      <alignment horizontal="left"/>
    </xf>
    <xf numFmtId="0" fontId="28" fillId="9" borderId="8" xfId="0" applyFont="1" applyFill="1" applyBorder="1" applyAlignment="1">
      <alignment horizontal="left"/>
    </xf>
    <xf numFmtId="0" fontId="2" fillId="9" borderId="9" xfId="0" applyFont="1" applyFill="1" applyBorder="1" applyAlignment="1" applyProtection="1">
      <alignment vertical="top"/>
      <protection hidden="1"/>
    </xf>
    <xf numFmtId="0" fontId="2" fillId="9" borderId="10" xfId="0" applyFont="1" applyFill="1" applyBorder="1" applyAlignment="1" applyProtection="1">
      <alignment vertical="top"/>
      <protection hidden="1"/>
    </xf>
    <xf numFmtId="0" fontId="2" fillId="9" borderId="11" xfId="0" applyFont="1" applyFill="1" applyBorder="1" applyAlignment="1" applyProtection="1">
      <alignment vertical="top"/>
      <protection hidden="1"/>
    </xf>
    <xf numFmtId="0" fontId="7" fillId="0" borderId="4" xfId="0" applyFont="1" applyBorder="1" applyProtection="1">
      <protection hidden="1"/>
    </xf>
    <xf numFmtId="0" fontId="7" fillId="0" borderId="5" xfId="0" applyFont="1" applyBorder="1" applyProtection="1">
      <protection hidden="1"/>
    </xf>
    <xf numFmtId="0" fontId="7" fillId="0" borderId="6" xfId="0" applyFont="1" applyBorder="1" applyProtection="1">
      <protection hidden="1"/>
    </xf>
    <xf numFmtId="0" fontId="3" fillId="3" borderId="0" xfId="0" applyFont="1" applyFill="1" applyAlignment="1" applyProtection="1">
      <alignment horizontal="center" vertical="center"/>
      <protection hidden="1"/>
    </xf>
    <xf numFmtId="0" fontId="8" fillId="9" borderId="4" xfId="0" applyFont="1" applyFill="1" applyBorder="1" applyAlignment="1" applyProtection="1">
      <alignment horizontal="left" vertical="center" wrapText="1" indent="1"/>
      <protection hidden="1"/>
    </xf>
    <xf numFmtId="0" fontId="8" fillId="9" borderId="5" xfId="0" applyFont="1" applyFill="1" applyBorder="1" applyAlignment="1" applyProtection="1">
      <alignment horizontal="left" vertical="center" wrapText="1" indent="1"/>
      <protection hidden="1"/>
    </xf>
    <xf numFmtId="0" fontId="8" fillId="9" borderId="6" xfId="0" applyFont="1" applyFill="1" applyBorder="1" applyAlignment="1" applyProtection="1">
      <alignment horizontal="left" vertical="center" wrapText="1" indent="1"/>
      <protection hidden="1"/>
    </xf>
    <xf numFmtId="0" fontId="8" fillId="9" borderId="7" xfId="0" applyFont="1" applyFill="1" applyBorder="1" applyAlignment="1" applyProtection="1">
      <alignment horizontal="left" vertical="center" wrapText="1" indent="3"/>
      <protection hidden="1"/>
    </xf>
    <xf numFmtId="0" fontId="8" fillId="9" borderId="0" xfId="0" applyFont="1" applyFill="1" applyAlignment="1" applyProtection="1">
      <alignment horizontal="left" vertical="center" wrapText="1" indent="3"/>
      <protection hidden="1"/>
    </xf>
    <xf numFmtId="0" fontId="8" fillId="9" borderId="8" xfId="0" applyFont="1" applyFill="1" applyBorder="1" applyAlignment="1" applyProtection="1">
      <alignment horizontal="left" vertical="center" wrapText="1" indent="3"/>
      <protection hidden="1"/>
    </xf>
    <xf numFmtId="0" fontId="8" fillId="9" borderId="9" xfId="0" applyFont="1" applyFill="1" applyBorder="1" applyAlignment="1" applyProtection="1">
      <alignment horizontal="left" vertical="center" wrapText="1" indent="3"/>
      <protection hidden="1"/>
    </xf>
    <xf numFmtId="0" fontId="8" fillId="9" borderId="10" xfId="0" applyFont="1" applyFill="1" applyBorder="1" applyAlignment="1" applyProtection="1">
      <alignment horizontal="left" vertical="center" wrapText="1" indent="3"/>
      <protection hidden="1"/>
    </xf>
    <xf numFmtId="0" fontId="8" fillId="9" borderId="11" xfId="0" applyFont="1" applyFill="1" applyBorder="1" applyAlignment="1" applyProtection="1">
      <alignment horizontal="left" vertical="center" wrapText="1" indent="3"/>
      <protection hidden="1"/>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7" fillId="0" borderId="1" xfId="0" applyFont="1" applyBorder="1" applyAlignment="1" applyProtection="1">
      <alignment horizontal="left" vertical="center" indent="1"/>
      <protection hidden="1"/>
    </xf>
    <xf numFmtId="0" fontId="7" fillId="0" borderId="2" xfId="0" applyFont="1" applyBorder="1" applyAlignment="1" applyProtection="1">
      <alignment horizontal="left" vertical="center" indent="1"/>
      <protection hidden="1"/>
    </xf>
    <xf numFmtId="0" fontId="7" fillId="0" borderId="3" xfId="0" applyFont="1" applyBorder="1" applyAlignment="1" applyProtection="1">
      <alignment horizontal="left" vertical="center" indent="1"/>
      <protection hidden="1"/>
    </xf>
    <xf numFmtId="0" fontId="2" fillId="4" borderId="1" xfId="0"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protection locked="0"/>
    </xf>
    <xf numFmtId="0" fontId="2" fillId="4" borderId="3" xfId="0" applyFont="1" applyFill="1" applyBorder="1" applyAlignment="1" applyProtection="1">
      <alignment horizontal="left" vertical="center" wrapText="1"/>
      <protection locked="0"/>
    </xf>
    <xf numFmtId="0" fontId="8" fillId="0" borderId="0" xfId="0" applyFont="1" applyAlignment="1" applyProtection="1">
      <alignment horizontal="left" vertical="center" indent="1"/>
      <protection hidden="1"/>
    </xf>
    <xf numFmtId="0" fontId="2" fillId="0" borderId="0" xfId="0" applyFont="1" applyAlignment="1" applyProtection="1">
      <alignment vertical="center" wrapText="1"/>
      <protection hidden="1"/>
    </xf>
    <xf numFmtId="0" fontId="6" fillId="9" borderId="4" xfId="2" applyFont="1" applyFill="1" applyBorder="1" applyAlignment="1" applyProtection="1">
      <alignment horizontal="left" vertical="center" wrapText="1" indent="1"/>
      <protection hidden="1"/>
    </xf>
    <xf numFmtId="0" fontId="6" fillId="9" borderId="5" xfId="2" applyFont="1" applyFill="1" applyBorder="1" applyAlignment="1" applyProtection="1">
      <alignment horizontal="left" vertical="center" wrapText="1" indent="1"/>
      <protection hidden="1"/>
    </xf>
    <xf numFmtId="0" fontId="6" fillId="9" borderId="6" xfId="2" applyFont="1" applyFill="1" applyBorder="1" applyAlignment="1" applyProtection="1">
      <alignment horizontal="left" vertical="center" wrapText="1" indent="1"/>
      <protection hidden="1"/>
    </xf>
    <xf numFmtId="0" fontId="6" fillId="9" borderId="7" xfId="2" applyFont="1" applyFill="1" applyBorder="1" applyAlignment="1" applyProtection="1">
      <alignment horizontal="left" vertical="center" wrapText="1" indent="1"/>
      <protection hidden="1"/>
    </xf>
    <xf numFmtId="0" fontId="6" fillId="9" borderId="0" xfId="2" applyFont="1" applyFill="1" applyAlignment="1" applyProtection="1">
      <alignment horizontal="left" vertical="center" wrapText="1" indent="1"/>
      <protection hidden="1"/>
    </xf>
    <xf numFmtId="0" fontId="6" fillId="9" borderId="8" xfId="2" applyFont="1" applyFill="1" applyBorder="1" applyAlignment="1" applyProtection="1">
      <alignment horizontal="left" vertical="center" wrapText="1" indent="1"/>
      <protection hidden="1"/>
    </xf>
    <xf numFmtId="0" fontId="6" fillId="9" borderId="9" xfId="2" applyFont="1" applyFill="1" applyBorder="1" applyAlignment="1" applyProtection="1">
      <alignment horizontal="left" vertical="center" wrapText="1" indent="1"/>
      <protection hidden="1"/>
    </xf>
    <xf numFmtId="0" fontId="6" fillId="9" borderId="10" xfId="2" applyFont="1" applyFill="1" applyBorder="1" applyAlignment="1" applyProtection="1">
      <alignment horizontal="left" vertical="center" wrapText="1" indent="1"/>
      <protection hidden="1"/>
    </xf>
    <xf numFmtId="0" fontId="6" fillId="9" borderId="11" xfId="2" applyFont="1" applyFill="1" applyBorder="1" applyAlignment="1" applyProtection="1">
      <alignment horizontal="left" vertical="center" wrapText="1" indent="1"/>
      <protection hidden="1"/>
    </xf>
    <xf numFmtId="0" fontId="8" fillId="0" borderId="0" xfId="0" applyFont="1" applyAlignment="1" applyProtection="1">
      <alignment horizontal="center" vertical="center" wrapText="1"/>
      <protection hidden="1"/>
    </xf>
    <xf numFmtId="0" fontId="10" fillId="3" borderId="0" xfId="0" applyFont="1" applyFill="1" applyAlignment="1" applyProtection="1">
      <alignment vertical="center"/>
      <protection hidden="1"/>
    </xf>
    <xf numFmtId="0" fontId="8" fillId="0" borderId="1" xfId="0" applyFont="1" applyBorder="1" applyAlignment="1" applyProtection="1">
      <alignment horizontal="left" vertical="center" wrapText="1"/>
      <protection hidden="1"/>
    </xf>
    <xf numFmtId="0" fontId="8" fillId="0" borderId="2" xfId="0" applyFont="1" applyBorder="1" applyAlignment="1" applyProtection="1">
      <alignment horizontal="left" vertical="center" wrapText="1"/>
      <protection hidden="1"/>
    </xf>
    <xf numFmtId="0" fontId="8" fillId="0" borderId="3" xfId="0" applyFont="1" applyBorder="1" applyAlignment="1" applyProtection="1">
      <alignment horizontal="left" vertical="center" wrapText="1"/>
      <protection hidden="1"/>
    </xf>
    <xf numFmtId="0" fontId="8" fillId="4" borderId="1" xfId="0" applyFont="1" applyFill="1" applyBorder="1" applyAlignment="1" applyProtection="1">
      <alignment horizontal="left" vertical="center" wrapText="1"/>
      <protection locked="0"/>
    </xf>
    <xf numFmtId="0" fontId="8" fillId="4" borderId="2" xfId="0" applyFont="1" applyFill="1" applyBorder="1" applyAlignment="1" applyProtection="1">
      <alignment horizontal="left" vertical="center" wrapText="1"/>
      <protection locked="0"/>
    </xf>
    <xf numFmtId="0" fontId="8" fillId="4" borderId="3" xfId="0" applyFont="1" applyFill="1" applyBorder="1" applyAlignment="1" applyProtection="1">
      <alignment horizontal="left" vertical="center" wrapText="1"/>
      <protection locked="0"/>
    </xf>
    <xf numFmtId="0" fontId="8" fillId="0" borderId="1" xfId="0" applyFont="1" applyBorder="1" applyAlignment="1" applyProtection="1">
      <alignment vertical="center" wrapText="1"/>
      <protection hidden="1"/>
    </xf>
    <xf numFmtId="0" fontId="8" fillId="0" borderId="2" xfId="0" applyFont="1" applyBorder="1" applyAlignment="1" applyProtection="1">
      <alignment vertical="center" wrapText="1"/>
      <protection hidden="1"/>
    </xf>
    <xf numFmtId="0" fontId="8" fillId="0" borderId="3" xfId="0" applyFont="1" applyBorder="1" applyAlignment="1" applyProtection="1">
      <alignment vertical="center" wrapText="1"/>
      <protection hidden="1"/>
    </xf>
    <xf numFmtId="0" fontId="5" fillId="0" borderId="4" xfId="0" applyFont="1" applyBorder="1" applyAlignment="1" applyProtection="1">
      <alignment horizontal="left" vertical="center" indent="1"/>
      <protection hidden="1"/>
    </xf>
    <xf numFmtId="0" fontId="5" fillId="0" borderId="5" xfId="0" applyFont="1" applyBorder="1" applyAlignment="1" applyProtection="1">
      <alignment horizontal="left" vertical="center" indent="1"/>
      <protection hidden="1"/>
    </xf>
    <xf numFmtId="0" fontId="5" fillId="0" borderId="6" xfId="0" applyFont="1" applyBorder="1" applyAlignment="1" applyProtection="1">
      <alignment horizontal="left" vertical="center" indent="1"/>
      <protection hidden="1"/>
    </xf>
    <xf numFmtId="0" fontId="5" fillId="0" borderId="9" xfId="0" applyFont="1" applyBorder="1" applyAlignment="1" applyProtection="1">
      <alignment horizontal="left" vertical="center" indent="1"/>
      <protection hidden="1"/>
    </xf>
    <xf numFmtId="0" fontId="5" fillId="0" borderId="10" xfId="0" applyFont="1" applyBorder="1" applyAlignment="1" applyProtection="1">
      <alignment horizontal="left" vertical="center" indent="1"/>
      <protection hidden="1"/>
    </xf>
    <xf numFmtId="0" fontId="5" fillId="0" borderId="11" xfId="0" applyFont="1" applyBorder="1" applyAlignment="1" applyProtection="1">
      <alignment horizontal="left" vertical="center" indent="1"/>
      <protection hidden="1"/>
    </xf>
    <xf numFmtId="0" fontId="5" fillId="4" borderId="4" xfId="0" applyFont="1" applyFill="1" applyBorder="1" applyAlignment="1" applyProtection="1">
      <alignment vertical="center"/>
      <protection locked="0"/>
    </xf>
    <xf numFmtId="0" fontId="5" fillId="4" borderId="5" xfId="0" applyFont="1" applyFill="1" applyBorder="1" applyAlignment="1" applyProtection="1">
      <alignment vertical="center"/>
      <protection locked="0"/>
    </xf>
    <xf numFmtId="0" fontId="5" fillId="4" borderId="6" xfId="0" applyFont="1" applyFill="1" applyBorder="1" applyAlignment="1" applyProtection="1">
      <alignment vertical="center"/>
      <protection locked="0"/>
    </xf>
    <xf numFmtId="0" fontId="5" fillId="4" borderId="9" xfId="0" applyFont="1" applyFill="1" applyBorder="1" applyAlignment="1" applyProtection="1">
      <alignment vertical="center"/>
      <protection locked="0"/>
    </xf>
    <xf numFmtId="0" fontId="5" fillId="4" borderId="10" xfId="0" applyFont="1" applyFill="1" applyBorder="1" applyAlignment="1" applyProtection="1">
      <alignment vertical="center"/>
      <protection locked="0"/>
    </xf>
    <xf numFmtId="0" fontId="5" fillId="4" borderId="11" xfId="0" applyFont="1" applyFill="1" applyBorder="1" applyAlignment="1" applyProtection="1">
      <alignment vertical="center"/>
      <protection locked="0"/>
    </xf>
    <xf numFmtId="0" fontId="5" fillId="0" borderId="21" xfId="0" applyFont="1" applyBorder="1" applyAlignment="1" applyProtection="1">
      <alignment horizontal="left" vertical="center" indent="1"/>
      <protection hidden="1"/>
    </xf>
    <xf numFmtId="0" fontId="34" fillId="4" borderId="21" xfId="0" applyFont="1" applyFill="1" applyBorder="1" applyAlignment="1" applyProtection="1">
      <alignment horizontal="left" vertical="center" indent="1"/>
      <protection locked="0"/>
    </xf>
    <xf numFmtId="0" fontId="3" fillId="3" borderId="0" xfId="0" applyFont="1" applyFill="1" applyBorder="1" applyAlignment="1" applyProtection="1">
      <alignment horizontal="center" vertical="center"/>
      <protection hidden="1"/>
    </xf>
    <xf numFmtId="0" fontId="7" fillId="9" borderId="4" xfId="0" applyFont="1" applyFill="1" applyBorder="1" applyAlignment="1" applyProtection="1">
      <alignment horizontal="left" vertical="top" wrapText="1" indent="1"/>
    </xf>
    <xf numFmtId="0" fontId="7" fillId="9" borderId="5" xfId="0" applyFont="1" applyFill="1" applyBorder="1" applyAlignment="1" applyProtection="1">
      <alignment horizontal="left" vertical="top" wrapText="1" indent="1"/>
    </xf>
    <xf numFmtId="0" fontId="7" fillId="9" borderId="6" xfId="0" applyFont="1" applyFill="1" applyBorder="1" applyAlignment="1" applyProtection="1">
      <alignment horizontal="left" vertical="top" wrapText="1" indent="1"/>
    </xf>
    <xf numFmtId="0" fontId="6" fillId="9" borderId="7" xfId="2" applyFont="1" applyFill="1" applyBorder="1" applyAlignment="1" applyProtection="1">
      <alignment horizontal="left" vertical="top" wrapText="1" indent="1"/>
    </xf>
    <xf numFmtId="0" fontId="6" fillId="9" borderId="0" xfId="2" applyFont="1" applyFill="1" applyBorder="1" applyAlignment="1" applyProtection="1">
      <alignment horizontal="left" vertical="top" wrapText="1" indent="1"/>
    </xf>
    <xf numFmtId="0" fontId="6" fillId="9" borderId="8" xfId="2" applyFont="1" applyFill="1" applyBorder="1" applyAlignment="1" applyProtection="1">
      <alignment horizontal="left" vertical="top" wrapText="1" indent="1"/>
    </xf>
    <xf numFmtId="0" fontId="6" fillId="9" borderId="9" xfId="2" applyFont="1" applyFill="1" applyBorder="1" applyAlignment="1" applyProtection="1">
      <alignment horizontal="left" vertical="top" wrapText="1" indent="1"/>
    </xf>
    <xf numFmtId="0" fontId="6" fillId="9" borderId="10" xfId="2" applyFont="1" applyFill="1" applyBorder="1" applyAlignment="1" applyProtection="1">
      <alignment horizontal="left" vertical="top" wrapText="1" indent="1"/>
    </xf>
    <xf numFmtId="0" fontId="6" fillId="9" borderId="11" xfId="2" applyFont="1" applyFill="1" applyBorder="1" applyAlignment="1" applyProtection="1">
      <alignment horizontal="left" vertical="top" wrapText="1" indent="1"/>
    </xf>
    <xf numFmtId="0" fontId="6" fillId="9" borderId="1" xfId="2" applyFont="1" applyFill="1" applyBorder="1" applyAlignment="1" applyProtection="1">
      <alignment horizontal="left" vertical="center" wrapText="1" indent="1"/>
    </xf>
    <xf numFmtId="0" fontId="6" fillId="9" borderId="2" xfId="2" applyFont="1" applyFill="1" applyBorder="1" applyAlignment="1" applyProtection="1">
      <alignment horizontal="left" vertical="center" wrapText="1" indent="1"/>
    </xf>
    <xf numFmtId="0" fontId="6" fillId="9" borderId="3" xfId="2" applyFont="1" applyFill="1" applyBorder="1" applyAlignment="1" applyProtection="1">
      <alignment horizontal="left" vertical="center" wrapText="1" indent="1"/>
    </xf>
    <xf numFmtId="0" fontId="10"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wrapText="1"/>
    </xf>
    <xf numFmtId="0" fontId="8" fillId="9" borderId="1" xfId="0" applyFont="1" applyFill="1" applyBorder="1" applyAlignment="1" applyProtection="1">
      <alignment horizontal="left" vertical="center" wrapText="1" indent="1"/>
    </xf>
    <xf numFmtId="0" fontId="8" fillId="9" borderId="2" xfId="0" applyFont="1" applyFill="1" applyBorder="1" applyAlignment="1" applyProtection="1">
      <alignment horizontal="left" vertical="center" wrapText="1" indent="1"/>
    </xf>
    <xf numFmtId="0" fontId="8" fillId="9" borderId="3" xfId="0" applyFont="1" applyFill="1" applyBorder="1" applyAlignment="1" applyProtection="1">
      <alignment horizontal="left" vertical="center" wrapText="1" indent="1"/>
    </xf>
    <xf numFmtId="0" fontId="10" fillId="3" borderId="0" xfId="0" applyFont="1" applyFill="1" applyBorder="1" applyAlignment="1" applyProtection="1">
      <alignment vertical="center"/>
      <protection hidden="1"/>
    </xf>
    <xf numFmtId="0" fontId="17" fillId="0" borderId="0" xfId="0" applyFont="1" applyBorder="1" applyAlignment="1" applyProtection="1">
      <alignment vertical="top"/>
    </xf>
    <xf numFmtId="0" fontId="8" fillId="0" borderId="1" xfId="0" applyFont="1" applyBorder="1" applyAlignment="1" applyProtection="1">
      <alignment horizontal="left" vertical="center" indent="1"/>
    </xf>
    <xf numFmtId="0" fontId="8" fillId="0" borderId="3" xfId="0" applyFont="1" applyBorder="1" applyAlignment="1" applyProtection="1">
      <alignment horizontal="left" vertical="center" indent="1"/>
    </xf>
    <xf numFmtId="0" fontId="10" fillId="3" borderId="0" xfId="0" applyFont="1" applyFill="1" applyBorder="1" applyAlignment="1" applyProtection="1">
      <alignment vertical="center"/>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6" fillId="9" borderId="4" xfId="2" applyFont="1" applyFill="1" applyBorder="1" applyAlignment="1" applyProtection="1">
      <alignment horizontal="left" vertical="center" indent="1"/>
      <protection hidden="1"/>
    </xf>
    <xf numFmtId="0" fontId="6" fillId="9" borderId="5" xfId="2" applyFont="1" applyFill="1" applyBorder="1" applyAlignment="1" applyProtection="1">
      <alignment horizontal="left" vertical="center" indent="1"/>
      <protection hidden="1"/>
    </xf>
    <xf numFmtId="0" fontId="6" fillId="9" borderId="6" xfId="2" applyFont="1" applyFill="1" applyBorder="1" applyAlignment="1" applyProtection="1">
      <alignment horizontal="left" vertical="center" indent="1"/>
      <protection hidden="1"/>
    </xf>
    <xf numFmtId="0" fontId="8" fillId="0" borderId="0" xfId="0" applyFont="1" applyAlignment="1" applyProtection="1">
      <alignment horizontal="left" vertical="top" wrapText="1" indent="1"/>
      <protection hidden="1"/>
    </xf>
    <xf numFmtId="0" fontId="3" fillId="3" borderId="0" xfId="0" applyFont="1" applyFill="1" applyBorder="1" applyAlignment="1" applyProtection="1">
      <alignment horizontal="left" vertical="center" indent="2"/>
      <protection hidden="1"/>
    </xf>
    <xf numFmtId="0" fontId="6" fillId="9" borderId="22" xfId="2" applyFont="1" applyFill="1" applyBorder="1" applyAlignment="1">
      <alignment horizontal="left" vertical="center" wrapText="1" indent="1"/>
    </xf>
    <xf numFmtId="0" fontId="8" fillId="9" borderId="23" xfId="0" applyFont="1" applyFill="1" applyBorder="1" applyAlignment="1">
      <alignment horizontal="left" vertical="center" wrapText="1" indent="1"/>
    </xf>
    <xf numFmtId="0" fontId="8" fillId="0" borderId="1" xfId="0" applyFont="1" applyBorder="1" applyAlignment="1">
      <alignment horizontal="left" vertical="center" indent="1"/>
    </xf>
    <xf numFmtId="0" fontId="8" fillId="0" borderId="3" xfId="0" applyFont="1" applyBorder="1" applyAlignment="1">
      <alignment horizontal="left" vertical="center" indent="1"/>
    </xf>
    <xf numFmtId="0" fontId="14" fillId="0" borderId="10" xfId="0" applyFont="1" applyBorder="1" applyAlignment="1">
      <alignment vertical="center"/>
    </xf>
    <xf numFmtId="0" fontId="8" fillId="0" borderId="4" xfId="0" applyFont="1" applyBorder="1" applyAlignment="1">
      <alignment horizontal="left" vertical="center" indent="1"/>
    </xf>
    <xf numFmtId="0" fontId="8" fillId="0" borderId="6" xfId="0" applyFont="1" applyBorder="1" applyAlignment="1">
      <alignment horizontal="left" vertical="center" indent="1"/>
    </xf>
    <xf numFmtId="0" fontId="8" fillId="7" borderId="1" xfId="0" applyFont="1" applyFill="1" applyBorder="1" applyAlignment="1">
      <alignment horizontal="center"/>
    </xf>
    <xf numFmtId="0" fontId="8" fillId="7" borderId="2" xfId="0" applyFont="1" applyFill="1" applyBorder="1" applyAlignment="1">
      <alignment horizontal="center"/>
    </xf>
    <xf numFmtId="0" fontId="8" fillId="7" borderId="3" xfId="0" applyFont="1" applyFill="1" applyBorder="1" applyAlignment="1">
      <alignment horizontal="center"/>
    </xf>
    <xf numFmtId="0" fontId="8" fillId="6" borderId="1" xfId="0" applyFont="1" applyFill="1" applyBorder="1" applyAlignment="1">
      <alignment horizontal="center"/>
    </xf>
    <xf numFmtId="0" fontId="8" fillId="6" borderId="2" xfId="0" applyFont="1" applyFill="1" applyBorder="1" applyAlignment="1">
      <alignment horizontal="center"/>
    </xf>
    <xf numFmtId="0" fontId="8" fillId="6" borderId="3" xfId="0" applyFont="1" applyFill="1" applyBorder="1" applyAlignment="1">
      <alignment horizontal="center"/>
    </xf>
    <xf numFmtId="0" fontId="8" fillId="8" borderId="1" xfId="0" applyFont="1" applyFill="1" applyBorder="1" applyAlignment="1">
      <alignment horizontal="center"/>
    </xf>
    <xf numFmtId="0" fontId="8" fillId="8" borderId="2" xfId="0" applyFont="1" applyFill="1" applyBorder="1" applyAlignment="1">
      <alignment horizontal="center"/>
    </xf>
    <xf numFmtId="0" fontId="8" fillId="8" borderId="3" xfId="0" applyFont="1" applyFill="1" applyBorder="1" applyAlignment="1">
      <alignment horizontal="center"/>
    </xf>
    <xf numFmtId="0" fontId="8" fillId="0" borderId="22" xfId="0" applyFont="1" applyBorder="1" applyAlignment="1">
      <alignment horizontal="left" vertical="center" indent="1"/>
    </xf>
    <xf numFmtId="0" fontId="8" fillId="0" borderId="23" xfId="0" applyFont="1" applyBorder="1" applyAlignment="1">
      <alignment horizontal="left" vertical="center" indent="1"/>
    </xf>
    <xf numFmtId="0" fontId="8" fillId="5" borderId="1" xfId="0" applyFont="1" applyFill="1" applyBorder="1" applyAlignment="1">
      <alignment horizontal="center"/>
    </xf>
    <xf numFmtId="0" fontId="8" fillId="5" borderId="3" xfId="0" applyFont="1" applyFill="1" applyBorder="1" applyAlignment="1">
      <alignment horizontal="center"/>
    </xf>
    <xf numFmtId="0" fontId="8" fillId="9" borderId="4" xfId="0" applyFont="1" applyFill="1" applyBorder="1" applyAlignment="1">
      <alignment horizontal="left" vertical="center" wrapText="1" indent="1"/>
    </xf>
    <xf numFmtId="0" fontId="8" fillId="9" borderId="5" xfId="0" applyFont="1" applyFill="1" applyBorder="1" applyAlignment="1">
      <alignment horizontal="left" vertical="center" wrapText="1" indent="1"/>
    </xf>
    <xf numFmtId="0" fontId="8" fillId="9" borderId="6" xfId="0" applyFont="1" applyFill="1" applyBorder="1" applyAlignment="1">
      <alignment horizontal="left" vertical="center" wrapText="1" indent="1"/>
    </xf>
    <xf numFmtId="0" fontId="8" fillId="9" borderId="7" xfId="0" applyFont="1" applyFill="1" applyBorder="1" applyAlignment="1">
      <alignment horizontal="left" vertical="center" wrapText="1" indent="1"/>
    </xf>
    <xf numFmtId="0" fontId="8" fillId="9" borderId="0" xfId="0" applyFont="1" applyFill="1" applyAlignment="1">
      <alignment horizontal="left" vertical="center" wrapText="1" indent="1"/>
    </xf>
    <xf numFmtId="0" fontId="8" fillId="9" borderId="8" xfId="0" applyFont="1" applyFill="1" applyBorder="1" applyAlignment="1">
      <alignment horizontal="left" vertical="center" wrapText="1" indent="1"/>
    </xf>
    <xf numFmtId="0" fontId="8" fillId="9" borderId="9" xfId="0" applyFont="1" applyFill="1" applyBorder="1" applyAlignment="1">
      <alignment horizontal="left" vertical="center" wrapText="1" indent="1"/>
    </xf>
    <xf numFmtId="0" fontId="8" fillId="9" borderId="10" xfId="0" applyFont="1" applyFill="1" applyBorder="1" applyAlignment="1">
      <alignment horizontal="left" vertical="center" wrapText="1" indent="1"/>
    </xf>
    <xf numFmtId="0" fontId="8" fillId="9" borderId="11" xfId="0" applyFont="1" applyFill="1" applyBorder="1" applyAlignment="1">
      <alignment horizontal="left" vertical="center" wrapText="1" indent="1"/>
    </xf>
    <xf numFmtId="0" fontId="8" fillId="2" borderId="0" xfId="0" applyFont="1" applyFill="1" applyAlignment="1">
      <alignment vertical="center" wrapText="1"/>
    </xf>
  </cellXfs>
  <cellStyles count="3">
    <cellStyle name="Hyperlink" xfId="2" builtinId="8"/>
    <cellStyle name="Normal" xfId="0" builtinId="0"/>
    <cellStyle name="Percent" xfId="1" builtinId="5"/>
  </cellStyles>
  <dxfs count="62">
    <dxf>
      <border>
        <left/>
        <right/>
        <top/>
        <bottom/>
        <vertical/>
        <horizontal/>
      </border>
    </dxf>
    <dxf>
      <border>
        <left/>
        <right/>
        <top/>
        <bottom/>
        <vertical/>
        <horizontal/>
      </border>
    </dxf>
    <dxf>
      <border>
        <left/>
        <right/>
        <top/>
        <bottom/>
        <vertical/>
        <horizontal/>
      </border>
    </dxf>
    <dxf>
      <border>
        <left/>
        <right/>
        <top/>
        <bottom/>
        <vertical/>
        <horizontal/>
      </border>
    </dxf>
    <dxf>
      <font>
        <color theme="0"/>
      </font>
      <border>
        <left/>
        <right/>
        <top/>
        <bottom/>
        <vertical/>
        <horizontal/>
      </border>
    </dxf>
    <dxf>
      <font>
        <color theme="0"/>
      </font>
      <border>
        <left/>
        <right/>
        <bottom/>
        <vertical/>
        <horizontal/>
      </border>
    </dxf>
    <dxf>
      <font>
        <color theme="0"/>
      </font>
      <border>
        <left/>
        <right/>
        <top/>
        <bottom/>
        <vertical/>
        <horizontal/>
      </border>
    </dxf>
    <dxf>
      <font>
        <color theme="0"/>
      </font>
      <border>
        <left/>
        <right/>
        <vertical/>
        <horizontal/>
      </border>
    </dxf>
    <dxf>
      <font>
        <color theme="0"/>
      </font>
      <border>
        <left/>
        <right/>
        <vertical/>
        <horizontal/>
      </border>
    </dxf>
    <dxf>
      <font>
        <color theme="0"/>
      </font>
      <border>
        <left/>
        <right/>
        <vertical/>
        <horizontal/>
      </border>
    </dxf>
    <dxf>
      <font>
        <color theme="0"/>
      </font>
      <border>
        <left/>
        <right/>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bottom/>
        <vertical/>
        <horizontal/>
      </border>
    </dxf>
    <dxf>
      <fill>
        <patternFill patternType="none">
          <bgColor auto="1"/>
        </patternFill>
      </fill>
      <border>
        <left/>
        <right/>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bgColor rgb="FFFFD961"/>
        </patternFill>
      </fill>
    </dxf>
    <dxf>
      <fill>
        <patternFill>
          <bgColor rgb="FFED878E"/>
        </patternFill>
      </fill>
    </dxf>
    <dxf>
      <fill>
        <patternFill>
          <bgColor rgb="FFC0DDAD"/>
        </patternFill>
      </fill>
    </dxf>
    <dxf>
      <fill>
        <patternFill>
          <bgColor rgb="FF73B04A"/>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bottom/>
        <vertical/>
        <horizontal/>
      </border>
    </dxf>
    <dxf>
      <fill>
        <patternFill patternType="none">
          <bgColor auto="1"/>
        </patternFill>
      </fill>
      <border>
        <left/>
        <right/>
        <vertical/>
        <horizontal/>
      </border>
    </dxf>
    <dxf>
      <fill>
        <patternFill>
          <bgColor rgb="FFFFD961"/>
        </patternFill>
      </fill>
    </dxf>
    <dxf>
      <fill>
        <patternFill>
          <bgColor rgb="FFED878E"/>
        </patternFill>
      </fill>
    </dxf>
    <dxf>
      <fill>
        <patternFill>
          <bgColor rgb="FFC0DDAD"/>
        </patternFill>
      </fill>
    </dxf>
    <dxf>
      <fill>
        <patternFill>
          <bgColor rgb="FF73B04A"/>
        </patternFill>
      </fill>
    </dxf>
    <dxf>
      <fill>
        <patternFill patternType="none">
          <bgColor auto="1"/>
        </patternFill>
      </fill>
      <border>
        <left/>
        <right/>
        <top/>
        <bottom/>
        <vertical/>
        <horizontal/>
      </border>
    </dxf>
    <dxf>
      <fill>
        <patternFill>
          <bgColor rgb="FFFFD961"/>
        </patternFill>
      </fill>
    </dxf>
    <dxf>
      <fill>
        <patternFill>
          <bgColor rgb="FFED878E"/>
        </patternFill>
      </fill>
    </dxf>
    <dxf>
      <fill>
        <patternFill>
          <bgColor rgb="FFC0DDAD"/>
        </patternFill>
      </fill>
    </dxf>
    <dxf>
      <fill>
        <patternFill>
          <bgColor rgb="FF73B04A"/>
        </patternFill>
      </fill>
    </dxf>
    <dxf>
      <fill>
        <patternFill patternType="none">
          <bgColor auto="1"/>
        </patternFill>
      </fill>
      <border>
        <left/>
        <right/>
        <bottom/>
        <vertical/>
        <horizontal/>
      </border>
    </dxf>
    <dxf>
      <fill>
        <patternFill patternType="none">
          <bgColor auto="1"/>
        </patternFill>
      </fill>
      <border>
        <left/>
        <right/>
        <top/>
        <bottom/>
        <vertical/>
        <horizontal/>
      </border>
    </dxf>
    <dxf>
      <fill>
        <patternFill>
          <bgColor rgb="FFFFD961"/>
        </patternFill>
      </fill>
    </dxf>
    <dxf>
      <fill>
        <patternFill>
          <bgColor rgb="FFED878E"/>
        </patternFill>
      </fill>
    </dxf>
    <dxf>
      <fill>
        <patternFill>
          <bgColor rgb="FFC0DDAD"/>
        </patternFill>
      </fill>
    </dxf>
    <dxf>
      <fill>
        <patternFill>
          <bgColor rgb="FF73B04A"/>
        </patternFill>
      </fill>
    </dxf>
    <dxf>
      <fill>
        <patternFill patternType="none">
          <bgColor auto="1"/>
        </patternFill>
      </fill>
      <border>
        <left/>
        <right/>
        <vertical/>
        <horizontal/>
      </border>
    </dxf>
    <dxf>
      <border>
        <left/>
        <right/>
        <bottom/>
        <vertical/>
        <horizontal/>
      </border>
    </dxf>
    <dxf>
      <fill>
        <patternFill>
          <bgColor rgb="FFFFD961"/>
        </patternFill>
      </fill>
    </dxf>
    <dxf>
      <fill>
        <patternFill>
          <bgColor rgb="FFED878E"/>
        </patternFill>
      </fill>
    </dxf>
    <dxf>
      <fill>
        <patternFill>
          <bgColor rgb="FFC0DDAD"/>
        </patternFill>
      </fill>
    </dxf>
    <dxf>
      <fill>
        <patternFill patternType="none">
          <bgColor auto="1"/>
        </patternFill>
      </fill>
      <border>
        <left/>
        <right/>
        <vertical/>
        <horizontal/>
      </border>
    </dxf>
    <dxf>
      <fill>
        <patternFill>
          <bgColor rgb="FFED878E"/>
        </patternFill>
      </fill>
    </dxf>
    <dxf>
      <fill>
        <patternFill>
          <bgColor rgb="FFFFD961"/>
        </patternFill>
      </fill>
    </dxf>
    <dxf>
      <fill>
        <patternFill>
          <bgColor rgb="FFC0DDAD"/>
        </patternFill>
      </fill>
    </dxf>
    <dxf>
      <fill>
        <patternFill>
          <bgColor rgb="FFED878E"/>
        </patternFill>
      </fill>
    </dxf>
    <dxf>
      <fill>
        <patternFill>
          <bgColor rgb="FFFFD961"/>
        </patternFill>
      </fill>
    </dxf>
    <dxf>
      <fill>
        <patternFill>
          <bgColor rgb="FFC0DDAD"/>
        </patternFill>
      </fill>
    </dxf>
    <dxf>
      <fill>
        <patternFill>
          <bgColor rgb="FF73B04A"/>
        </patternFill>
      </fill>
    </dxf>
    <dxf>
      <fill>
        <patternFill>
          <bgColor rgb="FFED878E"/>
        </patternFill>
      </fill>
    </dxf>
    <dxf>
      <fill>
        <patternFill>
          <bgColor rgb="FFFFD961"/>
        </patternFill>
      </fill>
    </dxf>
    <dxf>
      <fill>
        <patternFill>
          <bgColor rgb="FFC0DDAD"/>
        </patternFill>
      </fill>
    </dxf>
    <dxf>
      <border>
        <bottom/>
        <vertical/>
        <horizontal/>
      </border>
    </dxf>
    <dxf>
      <font>
        <color theme="0"/>
      </font>
      <fill>
        <patternFill patternType="none">
          <bgColor auto="1"/>
        </patternFill>
      </fill>
      <border>
        <left/>
        <right/>
        <top style="thin">
          <color auto="1"/>
        </top>
        <bottom style="thin">
          <color auto="1"/>
        </bottom>
        <vertical/>
        <horizontal/>
      </border>
    </dxf>
    <dxf>
      <fill>
        <patternFill>
          <bgColor rgb="FFED878E"/>
        </patternFill>
      </fill>
    </dxf>
    <dxf>
      <fill>
        <patternFill>
          <bgColor rgb="FFFFD961"/>
        </patternFill>
      </fill>
    </dxf>
    <dxf>
      <fill>
        <patternFill>
          <bgColor rgb="FFC0DDAD"/>
        </patternFill>
      </fill>
    </dxf>
    <dxf>
      <fill>
        <patternFill>
          <bgColor rgb="FF73B04A"/>
        </patternFill>
      </fill>
    </dxf>
  </dxfs>
  <tableStyles count="0" defaultTableStyle="TableStyleMedium2" defaultPivotStyle="PivotStyleLight16"/>
  <colors>
    <mruColors>
      <color rgb="FF104F75"/>
      <color rgb="FFE8D3D4"/>
      <color rgb="FFE6B8B7"/>
      <color rgb="FFC0DDAD"/>
      <color rgb="FFFFD961"/>
      <color rgb="FFED878E"/>
      <color rgb="FF73B04A"/>
      <color rgb="FFC7A1E3"/>
      <color rgb="FFBA8BDD"/>
      <color rgb="FFA9D0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19</xdr:row>
      <xdr:rowOff>187949</xdr:rowOff>
    </xdr:from>
    <xdr:to>
      <xdr:col>8</xdr:col>
      <xdr:colOff>2601514</xdr:colOff>
      <xdr:row>22</xdr:row>
      <xdr:rowOff>0</xdr:rowOff>
    </xdr:to>
    <xdr:sp macro="[0]!Reset_school_1" textlink="">
      <xdr:nvSpPr>
        <xdr:cNvPr id="21" name="Rectangle 20">
          <a:extLst>
            <a:ext uri="{FF2B5EF4-FFF2-40B4-BE49-F238E27FC236}">
              <a16:creationId xmlns="" xmlns:a16="http://schemas.microsoft.com/office/drawing/2014/main" id="{ADB84697-CFD9-46D6-A530-F223904374A9}"/>
            </a:ext>
          </a:extLst>
        </xdr:cNvPr>
        <xdr:cNvSpPr/>
      </xdr:nvSpPr>
      <xdr:spPr>
        <a:xfrm>
          <a:off x="7685485" y="6968559"/>
          <a:ext cx="4577952" cy="4371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tIns="0" rIns="36000" bIns="0" rtlCol="0" anchor="t"/>
        <a:lstStyle/>
        <a:p>
          <a:pPr lvl="0" algn="l"/>
          <a:r>
            <a:rPr lang="en-GB" sz="1200">
              <a:solidFill>
                <a:sysClr val="windowText" lastClr="000000"/>
              </a:solidFill>
              <a:latin typeface="Arial" panose="020B0604020202020204" pitchFamily="34" charset="0"/>
              <a:cs typeface="Arial" panose="020B0604020202020204" pitchFamily="34" charset="0"/>
            </a:rPr>
            <a:t>To reset the form to draw</a:t>
          </a:r>
          <a:r>
            <a:rPr lang="en-GB" sz="1200" baseline="0">
              <a:solidFill>
                <a:sysClr val="windowText" lastClr="000000"/>
              </a:solidFill>
              <a:latin typeface="Arial" panose="020B0604020202020204" pitchFamily="34" charset="0"/>
              <a:cs typeface="Arial" panose="020B0604020202020204" pitchFamily="34" charset="0"/>
            </a:rPr>
            <a:t> from the raw spending and characteristics data, </a:t>
          </a:r>
          <a:r>
            <a:rPr lang="en-GB" sz="1200" u="sng" baseline="0">
              <a:solidFill>
                <a:schemeClr val="accent1">
                  <a:lumMod val="75000"/>
                </a:schemeClr>
              </a:solidFill>
              <a:latin typeface="Arial" panose="020B0604020202020204" pitchFamily="34" charset="0"/>
              <a:cs typeface="Arial" panose="020B0604020202020204" pitchFamily="34" charset="0"/>
            </a:rPr>
            <a:t>click here</a:t>
          </a:r>
          <a:r>
            <a:rPr lang="en-GB" sz="1200" u="none" baseline="0">
              <a:solidFill>
                <a:sysClr val="windowText" lastClr="000000"/>
              </a:solidFill>
              <a:latin typeface="Arial" panose="020B0604020202020204" pitchFamily="34" charset="0"/>
              <a:cs typeface="Arial" panose="020B0604020202020204" pitchFamily="34" charset="0"/>
            </a:rPr>
            <a:t>. Macros must be enabled</a:t>
          </a:r>
          <a:r>
            <a:rPr lang="en-GB" sz="1200" u="none">
              <a:solidFill>
                <a:sysClr val="windowText" lastClr="000000"/>
              </a:solidFill>
              <a:latin typeface="Arial" panose="020B0604020202020204" pitchFamily="34" charset="0"/>
              <a:cs typeface="Arial" panose="020B0604020202020204" pitchFamily="34" charset="0"/>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kozerski\AppData\Local\Microsoft\Windows\Temporary%20Internet%20Files\Content.Outlook\D5IECWWU\Copy%20of%20AT%20population%20-%20April%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onnetapp01\Converter%20and%20Fast%20Track%20Sponsored\Converters%20Tracker%20Lates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VH\Finance\WGA%202011-12%20and%20consolidation\Copy%20of%20Master%20BDO_List%20of%20Academies%20for%20WGA_budget%20forecast%20opened%20as%20at%2031%20May%202012%20UPDATED%2002-10-2012%20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wailes\AppData\Local\Microsoft\Windows\Temporary%20Internet%20Files\Content.Outlook\ZEXLVGAF\AT%20population%20-%20September%20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iation"/>
      <sheetName val="Change log"/>
      <sheetName val="Alphabetical"/>
      <sheetName val="Populations"/>
      <sheetName val="Companies"/>
      <sheetName val="MATs"/>
      <sheetName val="CRM Extract"/>
      <sheetName val="Chart1"/>
      <sheetName val="Chart2"/>
      <sheetName val="Reference"/>
      <sheetName val="Lookup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9">
          <cell r="A9" t="str">
            <v>Barking and Dagenham London Borough Council</v>
          </cell>
        </row>
      </sheetData>
      <sheetData sheetId="10">
        <row r="4">
          <cell r="A4" t="str">
            <v>Corporate action</v>
          </cell>
        </row>
        <row r="5">
          <cell r="A5" t="str">
            <v>School name change</v>
          </cell>
        </row>
        <row r="6">
          <cell r="A6" t="str">
            <v>Change in LEA ref</v>
          </cell>
        </row>
        <row r="7">
          <cell r="A7" t="str">
            <v>Reorg. of MAT's structure</v>
          </cell>
        </row>
        <row r="8">
          <cell r="A8" t="str">
            <v>Transfer of school between ATs</v>
          </cell>
        </row>
        <row r="9">
          <cell r="A9" t="str">
            <v>Conversion of SAT into a MAT</v>
          </cell>
        </row>
        <row r="10">
          <cell r="A10" t="str">
            <v>Incorrect identification of MAT</v>
          </cell>
        </row>
        <row r="11">
          <cell r="A11" t="str">
            <v>Closure/merger of school</v>
          </cell>
        </row>
        <row r="12">
          <cell r="A12" t="str">
            <v>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Converter Applications"/>
      <sheetName val="Lists"/>
      <sheetName val="Sheet1"/>
      <sheetName val="Sheet2"/>
      <sheetName val="Sheet3"/>
      <sheetName val="Sheet4"/>
      <sheetName val="Sheet5"/>
      <sheetName val="Sheet6"/>
      <sheetName val="Sheet7"/>
      <sheetName val="Full Sponsored Tracker"/>
      <sheetName val="All_Converter_Applications"/>
      <sheetName val="Full_Sponsored_Tracker"/>
    </sheetNames>
    <sheetDataSet>
      <sheetData sheetId="0">
        <row r="1">
          <cell r="A1" t="str">
            <v>URN</v>
          </cell>
        </row>
      </sheetData>
      <sheetData sheetId="1">
        <row r="1">
          <cell r="A1" t="str">
            <v>ACD</v>
          </cell>
          <cell r="F1">
            <v>41883</v>
          </cell>
        </row>
        <row r="2">
          <cell r="F2">
            <v>41852</v>
          </cell>
        </row>
        <row r="3">
          <cell r="F3">
            <v>41821</v>
          </cell>
        </row>
        <row r="4">
          <cell r="F4">
            <v>41791</v>
          </cell>
        </row>
        <row r="5">
          <cell r="F5">
            <v>41760</v>
          </cell>
        </row>
        <row r="6">
          <cell r="F6">
            <v>41730</v>
          </cell>
        </row>
        <row r="7">
          <cell r="F7">
            <v>41699</v>
          </cell>
        </row>
        <row r="8">
          <cell r="F8">
            <v>41671</v>
          </cell>
        </row>
        <row r="9">
          <cell r="F9">
            <v>41640</v>
          </cell>
        </row>
        <row r="10">
          <cell r="F10">
            <v>41609</v>
          </cell>
        </row>
        <row r="11">
          <cell r="F11">
            <v>41579</v>
          </cell>
        </row>
        <row r="12">
          <cell r="F12">
            <v>41548</v>
          </cell>
        </row>
        <row r="13">
          <cell r="F13">
            <v>41518</v>
          </cell>
        </row>
        <row r="14">
          <cell r="F14">
            <v>41487</v>
          </cell>
        </row>
        <row r="15">
          <cell r="F15">
            <v>41456</v>
          </cell>
        </row>
        <row r="16">
          <cell r="F16">
            <v>41426</v>
          </cell>
        </row>
        <row r="17">
          <cell r="F17">
            <v>41395</v>
          </cell>
        </row>
        <row r="18">
          <cell r="F18">
            <v>41365</v>
          </cell>
        </row>
        <row r="19">
          <cell r="F19">
            <v>41334</v>
          </cell>
        </row>
        <row r="20">
          <cell r="F20">
            <v>41306</v>
          </cell>
        </row>
        <row r="21">
          <cell r="F21">
            <v>41275</v>
          </cell>
        </row>
        <row r="22">
          <cell r="F22">
            <v>41244</v>
          </cell>
        </row>
        <row r="23">
          <cell r="F23">
            <v>41214</v>
          </cell>
        </row>
        <row r="24">
          <cell r="F24">
            <v>41183</v>
          </cell>
        </row>
        <row r="25">
          <cell r="F25">
            <v>41153</v>
          </cell>
        </row>
        <row r="26">
          <cell r="F26">
            <v>41122</v>
          </cell>
        </row>
        <row r="27">
          <cell r="F27">
            <v>41091</v>
          </cell>
        </row>
        <row r="28">
          <cell r="F28">
            <v>41061</v>
          </cell>
        </row>
        <row r="29">
          <cell r="F29">
            <v>41030</v>
          </cell>
        </row>
        <row r="30">
          <cell r="F30">
            <v>41000</v>
          </cell>
        </row>
        <row r="31">
          <cell r="F31">
            <v>40969</v>
          </cell>
        </row>
        <row r="32">
          <cell r="F32">
            <v>40940</v>
          </cell>
        </row>
        <row r="33">
          <cell r="F33">
            <v>40909</v>
          </cell>
        </row>
        <row r="34">
          <cell r="F34">
            <v>40878</v>
          </cell>
        </row>
        <row r="35">
          <cell r="F35">
            <v>40848</v>
          </cell>
        </row>
        <row r="36">
          <cell r="F36">
            <v>40817</v>
          </cell>
        </row>
        <row r="37">
          <cell r="F37">
            <v>40787</v>
          </cell>
        </row>
        <row r="38">
          <cell r="F38">
            <v>40756</v>
          </cell>
        </row>
        <row r="39">
          <cell r="F39">
            <v>40725</v>
          </cell>
        </row>
        <row r="40">
          <cell r="F40">
            <v>40695</v>
          </cell>
        </row>
        <row r="41">
          <cell r="F41">
            <v>40664</v>
          </cell>
        </row>
        <row r="42">
          <cell r="F42">
            <v>40634</v>
          </cell>
        </row>
        <row r="43">
          <cell r="F43">
            <v>40603</v>
          </cell>
        </row>
        <row r="44">
          <cell r="F44">
            <v>40575</v>
          </cell>
        </row>
        <row r="45">
          <cell r="F45">
            <v>40544</v>
          </cell>
        </row>
        <row r="46">
          <cell r="F46">
            <v>40513</v>
          </cell>
        </row>
        <row r="47">
          <cell r="F47">
            <v>40483</v>
          </cell>
        </row>
        <row r="48">
          <cell r="F48">
            <v>40452</v>
          </cell>
        </row>
        <row r="49">
          <cell r="F49">
            <v>40422</v>
          </cell>
        </row>
        <row r="50">
          <cell r="F50" t="str">
            <v>Undecided</v>
          </cell>
        </row>
      </sheetData>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list"/>
      <sheetName val="Data"/>
      <sheetName val="Psuedo_WGAlist"/>
      <sheetName val="Sheet3"/>
      <sheetName val="Additional Psudo"/>
      <sheetName val="Sheet1"/>
    </sheetNames>
    <sheetDataSet>
      <sheetData sheetId="0" refreshError="1"/>
      <sheetData sheetId="1" refreshError="1"/>
      <sheetData sheetId="2" refreshError="1">
        <row r="1">
          <cell r="F1" t="str">
            <v>LEA Establishment No</v>
          </cell>
          <cell r="G1" t="str">
            <v>Federation or Individual for Accounts</v>
          </cell>
          <cell r="H1" t="str">
            <v>Federation</v>
          </cell>
          <cell r="I1" t="str">
            <v>Academy Name</v>
          </cell>
          <cell r="J1" t="str">
            <v>Territory</v>
          </cell>
          <cell r="K1" t="str">
            <v>Large/ Small WGA</v>
          </cell>
          <cell r="L1" t="str">
            <v>Pseudo WGA Due for 10-11 EFA/BDO</v>
          </cell>
        </row>
        <row r="2">
          <cell r="F2">
            <v>3946905</v>
          </cell>
          <cell r="G2" t="str">
            <v xml:space="preserve">Individual </v>
          </cell>
          <cell r="H2" t="str">
            <v>-</v>
          </cell>
          <cell r="I2" t="str">
            <v>Academy 360</v>
          </cell>
          <cell r="J2" t="str">
            <v>Northern</v>
          </cell>
          <cell r="K2" t="str">
            <v>Large</v>
          </cell>
          <cell r="L2" t="str">
            <v>EFA</v>
          </cell>
        </row>
        <row r="3">
          <cell r="F3">
            <v>9375407</v>
          </cell>
          <cell r="G3" t="str">
            <v>Individual</v>
          </cell>
          <cell r="H3" t="str">
            <v>-</v>
          </cell>
          <cell r="I3" t="str">
            <v>Alcester Grammar School</v>
          </cell>
          <cell r="J3" t="str">
            <v>Western</v>
          </cell>
          <cell r="K3" t="str">
            <v>Large</v>
          </cell>
          <cell r="L3" t="str">
            <v>EFA</v>
          </cell>
        </row>
        <row r="4">
          <cell r="F4">
            <v>8732087</v>
          </cell>
          <cell r="G4">
            <v>0</v>
          </cell>
          <cell r="H4" t="str">
            <v>-</v>
          </cell>
          <cell r="I4" t="str">
            <v>Alderman Jacobs Primary School</v>
          </cell>
          <cell r="J4" t="str">
            <v>Eastern</v>
          </cell>
          <cell r="K4" t="str">
            <v>Small</v>
          </cell>
          <cell r="L4" t="str">
            <v>EFA</v>
          </cell>
        </row>
        <row r="5">
          <cell r="F5">
            <v>8236905</v>
          </cell>
          <cell r="G5">
            <v>0</v>
          </cell>
          <cell r="H5" t="str">
            <v>-</v>
          </cell>
          <cell r="I5" t="str">
            <v>All Saints Academy</v>
          </cell>
          <cell r="J5" t="str">
            <v>Eastern</v>
          </cell>
          <cell r="K5" t="str">
            <v>Large</v>
          </cell>
          <cell r="L5" t="str">
            <v>EFA</v>
          </cell>
        </row>
        <row r="6">
          <cell r="F6">
            <v>8796905</v>
          </cell>
          <cell r="G6" t="str">
            <v>Individual</v>
          </cell>
          <cell r="H6" t="str">
            <v>-</v>
          </cell>
          <cell r="I6" t="str">
            <v>All Saints Church of England Academy, Plymouth</v>
          </cell>
          <cell r="J6" t="str">
            <v>Western</v>
          </cell>
          <cell r="K6" t="str">
            <v>Large</v>
          </cell>
          <cell r="L6" t="str">
            <v>EFA</v>
          </cell>
        </row>
        <row r="7">
          <cell r="F7">
            <v>3585404</v>
          </cell>
          <cell r="G7" t="str">
            <v xml:space="preserve">Individual </v>
          </cell>
          <cell r="H7" t="str">
            <v>-</v>
          </cell>
          <cell r="I7" t="str">
            <v>Altrincham Grammar School for Boys</v>
          </cell>
          <cell r="J7" t="str">
            <v>Northern</v>
          </cell>
          <cell r="K7" t="str">
            <v>Large</v>
          </cell>
          <cell r="L7" t="str">
            <v>EFA</v>
          </cell>
        </row>
        <row r="8">
          <cell r="F8">
            <v>8862141</v>
          </cell>
          <cell r="G8" t="str">
            <v>Individual</v>
          </cell>
          <cell r="H8" t="str">
            <v>-</v>
          </cell>
          <cell r="I8" t="str">
            <v>Amherst School</v>
          </cell>
          <cell r="J8" t="str">
            <v>Southern</v>
          </cell>
          <cell r="K8" t="str">
            <v>Small</v>
          </cell>
          <cell r="L8" t="str">
            <v>EFA</v>
          </cell>
        </row>
        <row r="9">
          <cell r="F9">
            <v>3806907</v>
          </cell>
          <cell r="G9" t="str">
            <v xml:space="preserve">Individual </v>
          </cell>
          <cell r="H9" t="str">
            <v>-</v>
          </cell>
          <cell r="I9" t="str">
            <v>Appleton Academy</v>
          </cell>
          <cell r="J9" t="str">
            <v>Northern</v>
          </cell>
          <cell r="K9" t="str">
            <v>Large</v>
          </cell>
          <cell r="L9" t="str">
            <v>EFA</v>
          </cell>
        </row>
        <row r="10">
          <cell r="F10">
            <v>8106905</v>
          </cell>
          <cell r="G10" t="str">
            <v xml:space="preserve">Individual </v>
          </cell>
          <cell r="H10" t="str">
            <v>-</v>
          </cell>
          <cell r="I10" t="str">
            <v>Archbishop Sentamu Academy</v>
          </cell>
          <cell r="J10" t="str">
            <v>Northern</v>
          </cell>
          <cell r="K10" t="str">
            <v>Large</v>
          </cell>
          <cell r="L10" t="str">
            <v>EFA</v>
          </cell>
        </row>
        <row r="11">
          <cell r="F11">
            <v>3344017</v>
          </cell>
          <cell r="G11" t="str">
            <v>Individual</v>
          </cell>
          <cell r="H11" t="str">
            <v>-</v>
          </cell>
          <cell r="I11" t="str">
            <v>Arden Academy</v>
          </cell>
          <cell r="J11" t="str">
            <v>Western</v>
          </cell>
          <cell r="K11" t="str">
            <v>Large</v>
          </cell>
          <cell r="L11" t="str">
            <v>EFA</v>
          </cell>
        </row>
        <row r="12">
          <cell r="F12">
            <v>8745417</v>
          </cell>
          <cell r="G12">
            <v>0</v>
          </cell>
          <cell r="H12" t="str">
            <v>-</v>
          </cell>
          <cell r="I12" t="str">
            <v>Arthur Mellows Village College</v>
          </cell>
          <cell r="J12" t="str">
            <v>Eastern</v>
          </cell>
          <cell r="K12" t="str">
            <v>Large</v>
          </cell>
          <cell r="L12" t="str">
            <v>EFA</v>
          </cell>
        </row>
        <row r="13">
          <cell r="F13">
            <v>2126905</v>
          </cell>
          <cell r="G13" t="str">
            <v>Individual</v>
          </cell>
          <cell r="H13" t="str">
            <v>-</v>
          </cell>
          <cell r="I13" t="str">
            <v>Ashcroft Technology Academy</v>
          </cell>
          <cell r="J13" t="str">
            <v>Southern</v>
          </cell>
          <cell r="K13" t="str">
            <v>Large</v>
          </cell>
          <cell r="L13" t="str">
            <v>EFA</v>
          </cell>
        </row>
        <row r="14">
          <cell r="F14">
            <v>9374241</v>
          </cell>
          <cell r="G14" t="str">
            <v>Individual</v>
          </cell>
          <cell r="H14" t="str">
            <v>-</v>
          </cell>
          <cell r="I14" t="str">
            <v>Ashlawn School</v>
          </cell>
          <cell r="J14" t="str">
            <v>Western</v>
          </cell>
          <cell r="K14" t="str">
            <v>Large</v>
          </cell>
          <cell r="L14" t="str">
            <v>EFA</v>
          </cell>
        </row>
        <row r="15">
          <cell r="F15">
            <v>3025406</v>
          </cell>
          <cell r="G15" t="str">
            <v>Individual</v>
          </cell>
          <cell r="H15" t="str">
            <v>-</v>
          </cell>
          <cell r="I15" t="str">
            <v>Ashmole Academy</v>
          </cell>
          <cell r="J15" t="str">
            <v>Southern</v>
          </cell>
          <cell r="K15" t="str">
            <v>Large</v>
          </cell>
          <cell r="L15" t="str">
            <v>EFA</v>
          </cell>
        </row>
        <row r="16">
          <cell r="F16">
            <v>3575400</v>
          </cell>
          <cell r="G16" t="str">
            <v xml:space="preserve">Individual </v>
          </cell>
          <cell r="H16" t="str">
            <v>-</v>
          </cell>
          <cell r="I16" t="str">
            <v>Audenshaw School</v>
          </cell>
          <cell r="J16" t="str">
            <v>Northern</v>
          </cell>
          <cell r="K16" t="str">
            <v>Large</v>
          </cell>
          <cell r="L16" t="str">
            <v>EFA</v>
          </cell>
        </row>
        <row r="17">
          <cell r="F17">
            <v>8254500</v>
          </cell>
          <cell r="G17" t="str">
            <v>Individual</v>
          </cell>
          <cell r="H17" t="str">
            <v>-</v>
          </cell>
          <cell r="I17" t="str">
            <v>Aylesbury Grammar School</v>
          </cell>
          <cell r="J17" t="str">
            <v>Southern</v>
          </cell>
          <cell r="K17" t="str">
            <v>Large</v>
          </cell>
          <cell r="L17" t="str">
            <v>EFA</v>
          </cell>
        </row>
        <row r="18">
          <cell r="F18">
            <v>2106911</v>
          </cell>
          <cell r="G18" t="str">
            <v>Individual</v>
          </cell>
          <cell r="H18" t="str">
            <v>-</v>
          </cell>
          <cell r="I18" t="str">
            <v>Bacon's College</v>
          </cell>
          <cell r="J18" t="str">
            <v>Southern</v>
          </cell>
          <cell r="K18" t="str">
            <v>Large</v>
          </cell>
          <cell r="L18" t="str">
            <v>EFA</v>
          </cell>
        </row>
        <row r="19">
          <cell r="F19">
            <v>9165408</v>
          </cell>
          <cell r="G19" t="str">
            <v>Individual</v>
          </cell>
          <cell r="H19" t="str">
            <v>-</v>
          </cell>
          <cell r="I19" t="str">
            <v>Balcarras School</v>
          </cell>
          <cell r="J19" t="str">
            <v>Western</v>
          </cell>
          <cell r="K19" t="str">
            <v>Large</v>
          </cell>
          <cell r="L19" t="str">
            <v>EFA</v>
          </cell>
        </row>
        <row r="20">
          <cell r="F20">
            <v>8912921</v>
          </cell>
          <cell r="G20">
            <v>0</v>
          </cell>
          <cell r="H20" t="str">
            <v>-</v>
          </cell>
          <cell r="I20" t="str">
            <v>Barnby Road Primary and Nursery school</v>
          </cell>
          <cell r="J20" t="str">
            <v>Eastern</v>
          </cell>
          <cell r="K20" t="str">
            <v>Small</v>
          </cell>
          <cell r="L20" t="str">
            <v>EFA</v>
          </cell>
        </row>
        <row r="21">
          <cell r="F21">
            <v>8216907</v>
          </cell>
          <cell r="G21">
            <v>0</v>
          </cell>
          <cell r="H21" t="str">
            <v>-</v>
          </cell>
          <cell r="I21" t="str">
            <v>Barnfield Business and Enterprise Studio Academy</v>
          </cell>
          <cell r="J21" t="str">
            <v>Eastern</v>
          </cell>
          <cell r="K21" t="str">
            <v>Small</v>
          </cell>
          <cell r="L21" t="str">
            <v>EFA</v>
          </cell>
        </row>
        <row r="22">
          <cell r="F22">
            <v>8216906</v>
          </cell>
          <cell r="G22">
            <v>0</v>
          </cell>
          <cell r="H22" t="str">
            <v>-</v>
          </cell>
          <cell r="I22" t="str">
            <v>Barnfield South Academy</v>
          </cell>
          <cell r="J22" t="str">
            <v>Eastern</v>
          </cell>
          <cell r="K22" t="str">
            <v>Large</v>
          </cell>
          <cell r="L22" t="str">
            <v>EFA</v>
          </cell>
        </row>
        <row r="23">
          <cell r="F23">
            <v>8216905</v>
          </cell>
          <cell r="G23">
            <v>0</v>
          </cell>
          <cell r="H23" t="str">
            <v>-</v>
          </cell>
          <cell r="I23" t="str">
            <v>Barnfield West Academy</v>
          </cell>
          <cell r="J23" t="str">
            <v>Eastern</v>
          </cell>
          <cell r="K23" t="str">
            <v>Large</v>
          </cell>
          <cell r="L23" t="str">
            <v>EFA</v>
          </cell>
        </row>
        <row r="24">
          <cell r="F24">
            <v>3304108</v>
          </cell>
          <cell r="G24" t="str">
            <v>Individual</v>
          </cell>
          <cell r="H24" t="str">
            <v>-</v>
          </cell>
          <cell r="I24" t="str">
            <v>Bartley Green School (A Specialist Technology &amp; Sports College)</v>
          </cell>
          <cell r="J24" t="str">
            <v>Western</v>
          </cell>
          <cell r="K24" t="str">
            <v>Large</v>
          </cell>
          <cell r="L24" t="str">
            <v>EFA</v>
          </cell>
        </row>
        <row r="25">
          <cell r="F25">
            <v>3055408</v>
          </cell>
          <cell r="G25" t="str">
            <v>Individual</v>
          </cell>
          <cell r="H25" t="str">
            <v>-</v>
          </cell>
          <cell r="I25" t="str">
            <v>Beaverwood School for Girls</v>
          </cell>
          <cell r="J25" t="str">
            <v>Southern</v>
          </cell>
          <cell r="K25" t="str">
            <v>Large</v>
          </cell>
          <cell r="L25" t="str">
            <v>EFA</v>
          </cell>
        </row>
        <row r="26">
          <cell r="F26">
            <v>9296905</v>
          </cell>
          <cell r="G26" t="str">
            <v>Individual</v>
          </cell>
          <cell r="H26" t="str">
            <v>-</v>
          </cell>
          <cell r="I26" t="str">
            <v>Bede Academy</v>
          </cell>
          <cell r="J26" t="str">
            <v>Southern</v>
          </cell>
          <cell r="K26" t="str">
            <v>Large</v>
          </cell>
          <cell r="L26" t="str">
            <v>EFA</v>
          </cell>
        </row>
        <row r="27">
          <cell r="F27">
            <v>8865464</v>
          </cell>
          <cell r="G27" t="str">
            <v>Individual</v>
          </cell>
          <cell r="H27" t="str">
            <v>-</v>
          </cell>
          <cell r="I27" t="str">
            <v xml:space="preserve">Bennett Memorial Diocesan School </v>
          </cell>
          <cell r="J27" t="str">
            <v>Southern</v>
          </cell>
          <cell r="K27" t="str">
            <v>Large</v>
          </cell>
          <cell r="L27" t="str">
            <v>EFA</v>
          </cell>
        </row>
        <row r="28">
          <cell r="F28">
            <v>3035403</v>
          </cell>
          <cell r="G28" t="str">
            <v>Individual</v>
          </cell>
          <cell r="H28" t="str">
            <v>-</v>
          </cell>
          <cell r="I28" t="str">
            <v>Beths Grammar School</v>
          </cell>
          <cell r="J28" t="str">
            <v>Southern</v>
          </cell>
          <cell r="K28" t="str">
            <v>Large</v>
          </cell>
          <cell r="L28" t="str">
            <v>EFA</v>
          </cell>
        </row>
        <row r="29">
          <cell r="F29">
            <v>3034000</v>
          </cell>
          <cell r="G29" t="str">
            <v>Individual</v>
          </cell>
          <cell r="H29" t="str">
            <v>-</v>
          </cell>
          <cell r="I29" t="str">
            <v>Bexley Grammar School</v>
          </cell>
          <cell r="J29" t="str">
            <v>Southern</v>
          </cell>
          <cell r="K29" t="str">
            <v>Large</v>
          </cell>
          <cell r="L29" t="str">
            <v>EFA</v>
          </cell>
        </row>
        <row r="30">
          <cell r="F30">
            <v>8742288</v>
          </cell>
          <cell r="G30">
            <v>0</v>
          </cell>
          <cell r="H30" t="str">
            <v>-</v>
          </cell>
          <cell r="I30" t="str">
            <v>Bishop Creighton Primary School</v>
          </cell>
          <cell r="J30" t="str">
            <v>Eastern</v>
          </cell>
          <cell r="K30" t="str">
            <v>Small</v>
          </cell>
          <cell r="L30" t="str">
            <v>EFA</v>
          </cell>
        </row>
        <row r="31">
          <cell r="F31">
            <v>3054604</v>
          </cell>
          <cell r="G31" t="str">
            <v>Individual</v>
          </cell>
          <cell r="H31" t="str">
            <v>-</v>
          </cell>
          <cell r="I31" t="str">
            <v xml:space="preserve">Bishop Justus Church of England School </v>
          </cell>
          <cell r="J31" t="str">
            <v>Southern</v>
          </cell>
          <cell r="K31" t="str">
            <v>Large</v>
          </cell>
          <cell r="L31" t="str">
            <v>EFA</v>
          </cell>
        </row>
        <row r="32">
          <cell r="F32">
            <v>8876907</v>
          </cell>
          <cell r="G32" t="str">
            <v>Individual</v>
          </cell>
          <cell r="H32" t="str">
            <v>-</v>
          </cell>
          <cell r="I32" t="str">
            <v>Bishop of Rochester Academy</v>
          </cell>
          <cell r="J32" t="str">
            <v>Southern</v>
          </cell>
          <cell r="K32" t="str">
            <v>Large</v>
          </cell>
          <cell r="L32" t="str">
            <v>EFA</v>
          </cell>
        </row>
        <row r="33">
          <cell r="F33">
            <v>8655413</v>
          </cell>
          <cell r="G33" t="str">
            <v>Individual</v>
          </cell>
          <cell r="H33" t="str">
            <v>-</v>
          </cell>
          <cell r="I33" t="str">
            <v>Bishop Wordsworth's Grammar School</v>
          </cell>
          <cell r="J33" t="str">
            <v>Western</v>
          </cell>
          <cell r="K33" t="str">
            <v>Large</v>
          </cell>
          <cell r="L33" t="str">
            <v>EFA</v>
          </cell>
        </row>
        <row r="34">
          <cell r="F34">
            <v>9084154</v>
          </cell>
          <cell r="G34" t="str">
            <v>Individual</v>
          </cell>
          <cell r="H34" t="str">
            <v>-</v>
          </cell>
          <cell r="I34" t="str">
            <v>Bodmin College</v>
          </cell>
          <cell r="J34" t="str">
            <v>Western</v>
          </cell>
          <cell r="K34" t="str">
            <v>Large</v>
          </cell>
          <cell r="L34" t="str">
            <v>EFA</v>
          </cell>
        </row>
        <row r="35">
          <cell r="F35">
            <v>8505407</v>
          </cell>
          <cell r="G35" t="str">
            <v>Individual</v>
          </cell>
          <cell r="H35" t="str">
            <v>-</v>
          </cell>
          <cell r="I35" t="str">
            <v>Bohunt School</v>
          </cell>
          <cell r="J35" t="str">
            <v>Southern</v>
          </cell>
          <cell r="K35" t="str">
            <v>Large</v>
          </cell>
          <cell r="L35" t="str">
            <v>EFA</v>
          </cell>
        </row>
        <row r="36">
          <cell r="F36">
            <v>3506906</v>
          </cell>
          <cell r="G36" t="str">
            <v xml:space="preserve">Individual </v>
          </cell>
          <cell r="H36" t="str">
            <v>-</v>
          </cell>
          <cell r="I36" t="str">
            <v>Bolton St Catherine's Academy</v>
          </cell>
          <cell r="J36" t="str">
            <v>Northern</v>
          </cell>
          <cell r="K36" t="str">
            <v>Large</v>
          </cell>
          <cell r="L36" t="str">
            <v>EFA</v>
          </cell>
        </row>
        <row r="37">
          <cell r="F37">
            <v>9253510</v>
          </cell>
          <cell r="G37">
            <v>0</v>
          </cell>
          <cell r="H37" t="str">
            <v>-</v>
          </cell>
          <cell r="I37" t="str">
            <v xml:space="preserve">Bourne Abbey Church of England Primary School   </v>
          </cell>
          <cell r="J37" t="str">
            <v>Eastern</v>
          </cell>
          <cell r="K37" t="str">
            <v>Small</v>
          </cell>
          <cell r="L37" t="str">
            <v>EFA</v>
          </cell>
        </row>
        <row r="38">
          <cell r="F38">
            <v>3806906</v>
          </cell>
          <cell r="G38" t="str">
            <v xml:space="preserve">Individual </v>
          </cell>
          <cell r="H38" t="str">
            <v>-</v>
          </cell>
          <cell r="I38" t="str">
            <v>Bradford Academy</v>
          </cell>
          <cell r="J38" t="str">
            <v>Northern</v>
          </cell>
          <cell r="K38" t="str">
            <v>Large</v>
          </cell>
          <cell r="L38" t="str">
            <v>EFA</v>
          </cell>
        </row>
        <row r="39">
          <cell r="F39">
            <v>3164031</v>
          </cell>
          <cell r="G39" t="str">
            <v>Individual</v>
          </cell>
          <cell r="H39" t="str">
            <v>-</v>
          </cell>
          <cell r="I39" t="str">
            <v>Brampton Manor Academy</v>
          </cell>
          <cell r="J39" t="str">
            <v>Southern</v>
          </cell>
          <cell r="K39">
            <v>0</v>
          </cell>
          <cell r="L39" t="str">
            <v>EFA</v>
          </cell>
        </row>
        <row r="40">
          <cell r="F40">
            <v>9255418</v>
          </cell>
          <cell r="G40">
            <v>0</v>
          </cell>
          <cell r="H40" t="str">
            <v>-</v>
          </cell>
          <cell r="I40" t="str">
            <v>Branston Community Academy</v>
          </cell>
          <cell r="J40" t="str">
            <v>Eastern</v>
          </cell>
          <cell r="K40" t="str">
            <v>Large</v>
          </cell>
          <cell r="L40" t="str">
            <v>EFA</v>
          </cell>
        </row>
        <row r="41">
          <cell r="F41">
            <v>8466905</v>
          </cell>
          <cell r="G41" t="str">
            <v>Individual</v>
          </cell>
          <cell r="H41" t="str">
            <v>-</v>
          </cell>
          <cell r="I41" t="str">
            <v>Brighton Aldridge Community Academy</v>
          </cell>
          <cell r="J41" t="str">
            <v>Southern</v>
          </cell>
          <cell r="K41" t="str">
            <v>Large</v>
          </cell>
          <cell r="L41" t="str">
            <v>EFA</v>
          </cell>
        </row>
        <row r="42">
          <cell r="F42">
            <v>8954220</v>
          </cell>
          <cell r="G42" t="str">
            <v xml:space="preserve">Individual </v>
          </cell>
          <cell r="H42" t="str">
            <v>-</v>
          </cell>
          <cell r="I42" t="str">
            <v>Brine Leas High School</v>
          </cell>
          <cell r="J42" t="str">
            <v>Northern</v>
          </cell>
          <cell r="K42" t="str">
            <v>Large</v>
          </cell>
          <cell r="L42" t="str">
            <v>EFA</v>
          </cell>
        </row>
        <row r="43">
          <cell r="F43">
            <v>3724024</v>
          </cell>
          <cell r="G43" t="str">
            <v xml:space="preserve">Individual </v>
          </cell>
          <cell r="H43" t="str">
            <v>-</v>
          </cell>
          <cell r="I43" t="str">
            <v>Brinsworth School</v>
          </cell>
          <cell r="J43" t="str">
            <v>Northern</v>
          </cell>
          <cell r="K43">
            <v>0</v>
          </cell>
          <cell r="L43" t="str">
            <v>EFA</v>
          </cell>
        </row>
        <row r="44">
          <cell r="F44">
            <v>8016908</v>
          </cell>
          <cell r="G44" t="str">
            <v>Individual</v>
          </cell>
          <cell r="H44" t="str">
            <v>-</v>
          </cell>
          <cell r="I44" t="str">
            <v>Bristol Cathedral Choir School</v>
          </cell>
          <cell r="J44" t="str">
            <v>Western</v>
          </cell>
          <cell r="K44" t="str">
            <v>Small</v>
          </cell>
          <cell r="L44" t="str">
            <v>EFA</v>
          </cell>
        </row>
        <row r="45">
          <cell r="F45">
            <v>8782004</v>
          </cell>
          <cell r="G45" t="str">
            <v>Individual</v>
          </cell>
          <cell r="H45" t="str">
            <v>-</v>
          </cell>
          <cell r="I45" t="str">
            <v>Broadclyst Community Primary School</v>
          </cell>
          <cell r="J45" t="str">
            <v>Western</v>
          </cell>
          <cell r="K45" t="str">
            <v>Small</v>
          </cell>
          <cell r="L45" t="str">
            <v>EFA</v>
          </cell>
        </row>
        <row r="46">
          <cell r="F46">
            <v>8876906</v>
          </cell>
          <cell r="G46" t="str">
            <v>Individual</v>
          </cell>
          <cell r="H46" t="str">
            <v>-</v>
          </cell>
          <cell r="I46" t="str">
            <v>Brompton Academy</v>
          </cell>
          <cell r="J46" t="str">
            <v>Southern</v>
          </cell>
          <cell r="K46">
            <v>0</v>
          </cell>
          <cell r="L46" t="str">
            <v>EFA</v>
          </cell>
        </row>
        <row r="47">
          <cell r="F47">
            <v>9286907</v>
          </cell>
          <cell r="G47">
            <v>0</v>
          </cell>
          <cell r="H47" t="str">
            <v>-</v>
          </cell>
          <cell r="I47" t="str">
            <v>Brooke Weston Academy</v>
          </cell>
          <cell r="J47" t="str">
            <v>Eastern</v>
          </cell>
          <cell r="K47">
            <v>0</v>
          </cell>
          <cell r="L47" t="str">
            <v>EFA</v>
          </cell>
        </row>
        <row r="48">
          <cell r="F48">
            <v>9255406</v>
          </cell>
          <cell r="G48">
            <v>0</v>
          </cell>
          <cell r="H48" t="str">
            <v>-</v>
          </cell>
          <cell r="I48" t="str">
            <v>Caistor Grammar School</v>
          </cell>
          <cell r="J48" t="str">
            <v>Eastern</v>
          </cell>
          <cell r="K48" t="str">
            <v>Small</v>
          </cell>
          <cell r="L48" t="str">
            <v>EFA</v>
          </cell>
        </row>
        <row r="49">
          <cell r="F49">
            <v>3046905</v>
          </cell>
          <cell r="G49" t="str">
            <v>Individual</v>
          </cell>
          <cell r="H49" t="str">
            <v>-</v>
          </cell>
          <cell r="I49" t="str">
            <v>Capital City Academy</v>
          </cell>
          <cell r="J49" t="str">
            <v>Southern</v>
          </cell>
          <cell r="K49" t="str">
            <v>Large</v>
          </cell>
          <cell r="L49" t="str">
            <v>EFA</v>
          </cell>
        </row>
        <row r="50">
          <cell r="F50">
            <v>8914107</v>
          </cell>
          <cell r="G50">
            <v>0</v>
          </cell>
          <cell r="H50" t="str">
            <v>-</v>
          </cell>
          <cell r="I50" t="str">
            <v>Carlton Le Willows Academy</v>
          </cell>
          <cell r="J50" t="str">
            <v>Eastern</v>
          </cell>
          <cell r="K50">
            <v>0</v>
          </cell>
          <cell r="L50" t="str">
            <v>EFA</v>
          </cell>
        </row>
        <row r="51">
          <cell r="F51">
            <v>8864207</v>
          </cell>
          <cell r="G51" t="str">
            <v>Individual</v>
          </cell>
          <cell r="H51" t="str">
            <v>-</v>
          </cell>
          <cell r="I51" t="str">
            <v>Castle Community College</v>
          </cell>
          <cell r="J51" t="str">
            <v>Southern</v>
          </cell>
          <cell r="K51" t="str">
            <v>Large</v>
          </cell>
          <cell r="L51" t="str">
            <v>EFA</v>
          </cell>
        </row>
        <row r="52">
          <cell r="F52">
            <v>3946906</v>
          </cell>
          <cell r="G52" t="str">
            <v xml:space="preserve">Individual </v>
          </cell>
          <cell r="H52" t="str">
            <v>-</v>
          </cell>
          <cell r="I52" t="str">
            <v>Castle View Enterprise Academy</v>
          </cell>
          <cell r="J52" t="str">
            <v>Northern</v>
          </cell>
          <cell r="K52" t="str">
            <v>Large</v>
          </cell>
          <cell r="L52" t="str">
            <v>EFA</v>
          </cell>
        </row>
        <row r="53">
          <cell r="F53">
            <v>3055409</v>
          </cell>
          <cell r="G53" t="str">
            <v>Individual</v>
          </cell>
          <cell r="H53" t="str">
            <v>-</v>
          </cell>
          <cell r="I53" t="str">
            <v>Charles Darwin Academy Trust</v>
          </cell>
          <cell r="J53" t="str">
            <v>Southern</v>
          </cell>
          <cell r="K53">
            <v>0</v>
          </cell>
          <cell r="L53" t="str">
            <v>EFA</v>
          </cell>
        </row>
        <row r="54">
          <cell r="F54">
            <v>8874068</v>
          </cell>
          <cell r="G54" t="str">
            <v>Individual</v>
          </cell>
          <cell r="H54" t="str">
            <v>-</v>
          </cell>
          <cell r="I54" t="str">
            <v>Chatham Grammar School for Boys</v>
          </cell>
          <cell r="J54" t="str">
            <v>Southern</v>
          </cell>
          <cell r="K54">
            <v>0</v>
          </cell>
          <cell r="L54" t="str">
            <v>EFA</v>
          </cell>
        </row>
        <row r="55">
          <cell r="F55">
            <v>3192010</v>
          </cell>
          <cell r="G55" t="str">
            <v>Individual</v>
          </cell>
          <cell r="H55" t="str">
            <v>-</v>
          </cell>
          <cell r="I55" t="str">
            <v>Cheam Park Farm Junior School</v>
          </cell>
          <cell r="J55" t="str">
            <v>Southern</v>
          </cell>
          <cell r="K55" t="str">
            <v>Small</v>
          </cell>
          <cell r="L55" t="str">
            <v>EFA</v>
          </cell>
        </row>
        <row r="56">
          <cell r="F56">
            <v>8315402</v>
          </cell>
          <cell r="G56">
            <v>0</v>
          </cell>
          <cell r="H56" t="str">
            <v>-</v>
          </cell>
          <cell r="I56" t="str">
            <v>Chellaston Academy</v>
          </cell>
          <cell r="J56" t="str">
            <v>Eastern</v>
          </cell>
          <cell r="K56">
            <v>0</v>
          </cell>
          <cell r="L56" t="str">
            <v>EFA</v>
          </cell>
        </row>
        <row r="57">
          <cell r="F57">
            <v>8815410</v>
          </cell>
          <cell r="G57">
            <v>0</v>
          </cell>
          <cell r="H57" t="str">
            <v>-</v>
          </cell>
          <cell r="I57" t="str">
            <v>Chelmsford County High School</v>
          </cell>
          <cell r="J57" t="str">
            <v>Eastern</v>
          </cell>
          <cell r="K57">
            <v>0</v>
          </cell>
          <cell r="L57" t="str">
            <v>EFA</v>
          </cell>
        </row>
        <row r="58">
          <cell r="F58">
            <v>2076905</v>
          </cell>
          <cell r="G58" t="str">
            <v>Individual</v>
          </cell>
          <cell r="H58" t="str">
            <v>-</v>
          </cell>
          <cell r="I58" t="str">
            <v>Chelsea Academy</v>
          </cell>
          <cell r="J58" t="str">
            <v>Southern</v>
          </cell>
          <cell r="K58">
            <v>0</v>
          </cell>
          <cell r="L58" t="str">
            <v>EFA</v>
          </cell>
        </row>
        <row r="59">
          <cell r="F59">
            <v>8702031</v>
          </cell>
          <cell r="G59" t="str">
            <v>Individual</v>
          </cell>
          <cell r="H59" t="str">
            <v>-</v>
          </cell>
          <cell r="I59" t="str">
            <v>Churchend Primary School</v>
          </cell>
          <cell r="J59" t="str">
            <v>Southern</v>
          </cell>
          <cell r="K59" t="str">
            <v>Small</v>
          </cell>
          <cell r="L59" t="str">
            <v>EFA</v>
          </cell>
        </row>
        <row r="60">
          <cell r="F60">
            <v>8804116</v>
          </cell>
          <cell r="G60" t="str">
            <v>Individual</v>
          </cell>
          <cell r="H60" t="str">
            <v>-</v>
          </cell>
          <cell r="I60" t="str">
            <v>Churston Ferrers Grammar School</v>
          </cell>
          <cell r="J60" t="str">
            <v>Western</v>
          </cell>
          <cell r="K60" t="str">
            <v>Small</v>
          </cell>
          <cell r="L60" t="str">
            <v>EFA</v>
          </cell>
        </row>
        <row r="61">
          <cell r="F61">
            <v>9165420</v>
          </cell>
          <cell r="G61" t="str">
            <v>Individual</v>
          </cell>
          <cell r="H61" t="str">
            <v>-</v>
          </cell>
          <cell r="I61" t="str">
            <v>Cirencester Deer Park School</v>
          </cell>
          <cell r="J61" t="str">
            <v>Western</v>
          </cell>
          <cell r="K61">
            <v>0</v>
          </cell>
          <cell r="L61" t="str">
            <v>EFA</v>
          </cell>
        </row>
        <row r="62">
          <cell r="F62">
            <v>9266906</v>
          </cell>
          <cell r="G62">
            <v>0</v>
          </cell>
          <cell r="H62" t="str">
            <v>-</v>
          </cell>
          <cell r="I62" t="str">
            <v>City Academy Norwich</v>
          </cell>
          <cell r="J62" t="str">
            <v>Eastern</v>
          </cell>
          <cell r="K62">
            <v>0</v>
          </cell>
          <cell r="L62" t="str">
            <v>EFA</v>
          </cell>
        </row>
        <row r="63">
          <cell r="F63">
            <v>2066906</v>
          </cell>
          <cell r="G63" t="str">
            <v>Individual</v>
          </cell>
          <cell r="H63" t="str">
            <v>-</v>
          </cell>
          <cell r="I63" t="str">
            <v>City of London Academy, Islington</v>
          </cell>
          <cell r="J63" t="str">
            <v>Southern</v>
          </cell>
          <cell r="K63">
            <v>0</v>
          </cell>
          <cell r="L63" t="str">
            <v>EFA</v>
          </cell>
        </row>
        <row r="64">
          <cell r="F64">
            <v>8126908</v>
          </cell>
          <cell r="G64" t="str">
            <v xml:space="preserve">Individual </v>
          </cell>
          <cell r="H64" t="str">
            <v>-</v>
          </cell>
          <cell r="I64" t="str">
            <v>Cleethorpes Academy</v>
          </cell>
          <cell r="J64" t="str">
            <v>Northern</v>
          </cell>
          <cell r="K64">
            <v>0</v>
          </cell>
          <cell r="L64" t="str">
            <v>EFA</v>
          </cell>
        </row>
        <row r="65">
          <cell r="F65">
            <v>9365221</v>
          </cell>
          <cell r="G65" t="str">
            <v>Individual</v>
          </cell>
          <cell r="H65" t="str">
            <v>-</v>
          </cell>
          <cell r="I65" t="str">
            <v>Cleves School</v>
          </cell>
          <cell r="J65" t="str">
            <v>Southern</v>
          </cell>
          <cell r="K65" t="str">
            <v>Small</v>
          </cell>
          <cell r="L65" t="str">
            <v>EFA</v>
          </cell>
        </row>
        <row r="66">
          <cell r="F66">
            <v>8885403</v>
          </cell>
          <cell r="G66" t="str">
            <v xml:space="preserve">Individual </v>
          </cell>
          <cell r="H66" t="str">
            <v>-</v>
          </cell>
          <cell r="I66" t="str">
            <v>Clitheroe Royal Grammar School</v>
          </cell>
          <cell r="J66" t="str">
            <v>Northern</v>
          </cell>
          <cell r="K66">
            <v>0</v>
          </cell>
          <cell r="L66" t="str">
            <v>EFA</v>
          </cell>
        </row>
        <row r="67">
          <cell r="F67">
            <v>8816911</v>
          </cell>
          <cell r="G67">
            <v>0</v>
          </cell>
          <cell r="H67" t="str">
            <v>-</v>
          </cell>
          <cell r="I67" t="str">
            <v>Colchester Academy</v>
          </cell>
          <cell r="J67" t="str">
            <v>Eastern</v>
          </cell>
          <cell r="K67">
            <v>0</v>
          </cell>
          <cell r="L67" t="str">
            <v>EFA</v>
          </cell>
        </row>
        <row r="68">
          <cell r="F68">
            <v>8016909</v>
          </cell>
          <cell r="G68" t="str">
            <v>Individual</v>
          </cell>
          <cell r="H68" t="str">
            <v>-</v>
          </cell>
          <cell r="I68" t="str">
            <v>Colston's Girls' School</v>
          </cell>
          <cell r="J68" t="str">
            <v>Western</v>
          </cell>
          <cell r="K68" t="str">
            <v>Small</v>
          </cell>
          <cell r="L68" t="str">
            <v>EFA</v>
          </cell>
        </row>
        <row r="69">
          <cell r="F69">
            <v>8785400</v>
          </cell>
          <cell r="G69" t="str">
            <v>Individual</v>
          </cell>
          <cell r="H69" t="str">
            <v>-</v>
          </cell>
          <cell r="I69" t="str">
            <v>Colyton Grammar School</v>
          </cell>
          <cell r="J69" t="str">
            <v>Western</v>
          </cell>
          <cell r="K69" t="str">
            <v>Small</v>
          </cell>
          <cell r="L69" t="str">
            <v>EFA</v>
          </cell>
        </row>
        <row r="70">
          <cell r="F70">
            <v>8735406</v>
          </cell>
          <cell r="G70">
            <v>0</v>
          </cell>
          <cell r="H70" t="str">
            <v>-</v>
          </cell>
          <cell r="I70" t="str">
            <v>Comberton Village College</v>
          </cell>
          <cell r="J70" t="str">
            <v>Eastern</v>
          </cell>
          <cell r="K70">
            <v>0</v>
          </cell>
          <cell r="L70" t="str">
            <v>EFA</v>
          </cell>
        </row>
        <row r="71">
          <cell r="F71">
            <v>8954226</v>
          </cell>
          <cell r="G71" t="str">
            <v xml:space="preserve">Individual </v>
          </cell>
          <cell r="H71" t="str">
            <v>-</v>
          </cell>
          <cell r="I71" t="str">
            <v>Congleton High School</v>
          </cell>
          <cell r="J71" t="str">
            <v>Northern</v>
          </cell>
          <cell r="K71">
            <v>0</v>
          </cell>
          <cell r="L71" t="str">
            <v>EFA</v>
          </cell>
        </row>
        <row r="72">
          <cell r="F72">
            <v>3055401</v>
          </cell>
          <cell r="G72" t="str">
            <v>Individual</v>
          </cell>
          <cell r="H72" t="str">
            <v>-</v>
          </cell>
          <cell r="I72" t="str">
            <v>Coopers Technology College</v>
          </cell>
          <cell r="J72" t="str">
            <v>Southern</v>
          </cell>
          <cell r="K72">
            <v>0</v>
          </cell>
          <cell r="L72" t="str">
            <v>EFA</v>
          </cell>
        </row>
        <row r="73">
          <cell r="F73">
            <v>8365410</v>
          </cell>
          <cell r="G73" t="str">
            <v>Individual</v>
          </cell>
          <cell r="H73" t="str">
            <v>-</v>
          </cell>
          <cell r="I73" t="str">
            <v>Corfe Hills School Academt Trust</v>
          </cell>
          <cell r="J73" t="str">
            <v>Western</v>
          </cell>
          <cell r="K73">
            <v>0</v>
          </cell>
          <cell r="L73" t="str">
            <v>EFA</v>
          </cell>
        </row>
        <row r="74">
          <cell r="F74">
            <v>8735203</v>
          </cell>
          <cell r="G74">
            <v>0</v>
          </cell>
          <cell r="H74" t="str">
            <v>-</v>
          </cell>
          <cell r="I74" t="str">
            <v>Crosshall Infant School</v>
          </cell>
          <cell r="J74" t="str">
            <v>Eastern</v>
          </cell>
          <cell r="K74" t="str">
            <v>Small</v>
          </cell>
          <cell r="L74" t="str">
            <v>EFA</v>
          </cell>
        </row>
        <row r="75">
          <cell r="F75">
            <v>8735204</v>
          </cell>
          <cell r="G75">
            <v>0</v>
          </cell>
          <cell r="H75" t="str">
            <v>-</v>
          </cell>
          <cell r="I75" t="str">
            <v>Crosshall Junior School</v>
          </cell>
          <cell r="J75" t="str">
            <v>Eastern</v>
          </cell>
          <cell r="K75" t="str">
            <v>Small</v>
          </cell>
          <cell r="L75" t="str">
            <v>EFA</v>
          </cell>
        </row>
        <row r="76">
          <cell r="F76">
            <v>3346924</v>
          </cell>
          <cell r="G76" t="str">
            <v>Individual</v>
          </cell>
          <cell r="H76" t="str">
            <v>-</v>
          </cell>
          <cell r="I76" t="str">
            <v>CTC Kingshurst Academy</v>
          </cell>
          <cell r="J76" t="str">
            <v>Western</v>
          </cell>
          <cell r="K76">
            <v>0</v>
          </cell>
          <cell r="L76" t="str">
            <v>EFA</v>
          </cell>
        </row>
        <row r="77">
          <cell r="F77">
            <v>3055418</v>
          </cell>
          <cell r="G77" t="str">
            <v>Individual</v>
          </cell>
          <cell r="H77" t="str">
            <v>-</v>
          </cell>
          <cell r="I77" t="str">
            <v>Darrick Wood School</v>
          </cell>
          <cell r="J77" t="str">
            <v>Southern</v>
          </cell>
          <cell r="K77">
            <v>0</v>
          </cell>
          <cell r="L77" t="str">
            <v>EFA</v>
          </cell>
        </row>
        <row r="78">
          <cell r="F78">
            <v>8865406</v>
          </cell>
          <cell r="G78" t="str">
            <v>Individual</v>
          </cell>
          <cell r="H78" t="str">
            <v>-</v>
          </cell>
          <cell r="I78" t="str">
            <v>Dartford Grammar School</v>
          </cell>
          <cell r="J78" t="str">
            <v>Southern</v>
          </cell>
          <cell r="K78">
            <v>0</v>
          </cell>
          <cell r="L78" t="str">
            <v>EFA</v>
          </cell>
        </row>
        <row r="79">
          <cell r="F79">
            <v>8896905</v>
          </cell>
          <cell r="G79" t="str">
            <v xml:space="preserve">Individual </v>
          </cell>
          <cell r="H79" t="str">
            <v>-</v>
          </cell>
          <cell r="I79" t="str">
            <v>Darwen Aldridge Community Academy</v>
          </cell>
          <cell r="J79" t="str">
            <v>Northern</v>
          </cell>
          <cell r="K79">
            <v>0</v>
          </cell>
          <cell r="L79" t="str">
            <v>EFA</v>
          </cell>
        </row>
        <row r="80">
          <cell r="F80">
            <v>8815426</v>
          </cell>
          <cell r="G80">
            <v>0</v>
          </cell>
          <cell r="H80" t="str">
            <v>-</v>
          </cell>
          <cell r="I80" t="str">
            <v>Davenant Foundation School</v>
          </cell>
          <cell r="J80" t="str">
            <v>Eastern</v>
          </cell>
          <cell r="K80">
            <v>0</v>
          </cell>
          <cell r="L80" t="str">
            <v>EFA</v>
          </cell>
        </row>
        <row r="81">
          <cell r="F81">
            <v>3836905</v>
          </cell>
          <cell r="G81" t="str">
            <v xml:space="preserve">Individual </v>
          </cell>
          <cell r="H81" t="str">
            <v>-</v>
          </cell>
          <cell r="I81" t="str">
            <v>David Young Community Academy</v>
          </cell>
          <cell r="J81" t="str">
            <v>Northern</v>
          </cell>
          <cell r="K81">
            <v>0</v>
          </cell>
          <cell r="L81" t="str">
            <v>EFA</v>
          </cell>
        </row>
        <row r="82">
          <cell r="F82">
            <v>9254514</v>
          </cell>
          <cell r="G82">
            <v>0</v>
          </cell>
          <cell r="H82" t="str">
            <v>-</v>
          </cell>
          <cell r="I82" t="str">
            <v>De Aston School</v>
          </cell>
          <cell r="J82" t="str">
            <v>Eastern</v>
          </cell>
          <cell r="K82">
            <v>0</v>
          </cell>
          <cell r="L82" t="str">
            <v>EFA</v>
          </cell>
        </row>
        <row r="83">
          <cell r="F83">
            <v>9354504</v>
          </cell>
          <cell r="G83">
            <v>0</v>
          </cell>
          <cell r="H83" t="str">
            <v>-</v>
          </cell>
          <cell r="I83" t="str">
            <v>Debenham High School</v>
          </cell>
          <cell r="J83" t="str">
            <v>Eastern</v>
          </cell>
          <cell r="K83" t="str">
            <v>Small</v>
          </cell>
          <cell r="L83" t="str">
            <v>EFA</v>
          </cell>
        </row>
        <row r="84">
          <cell r="F84">
            <v>8963128</v>
          </cell>
          <cell r="G84" t="str">
            <v xml:space="preserve">Individual </v>
          </cell>
          <cell r="H84" t="str">
            <v>-</v>
          </cell>
          <cell r="I84" t="str">
            <v>Delamere CofE Primary Academy</v>
          </cell>
          <cell r="J84" t="str">
            <v>Northern</v>
          </cell>
          <cell r="K84" t="str">
            <v>Small</v>
          </cell>
          <cell r="L84" t="str">
            <v>EFA</v>
          </cell>
        </row>
        <row r="85">
          <cell r="F85">
            <v>8214104</v>
          </cell>
          <cell r="G85">
            <v>0</v>
          </cell>
          <cell r="H85" t="str">
            <v>-</v>
          </cell>
          <cell r="I85" t="str">
            <v>Denbigh High School</v>
          </cell>
          <cell r="J85" t="str">
            <v>Eastern</v>
          </cell>
          <cell r="K85">
            <v>0</v>
          </cell>
          <cell r="L85" t="str">
            <v>EFA</v>
          </cell>
        </row>
        <row r="86">
          <cell r="F86">
            <v>8265410</v>
          </cell>
          <cell r="G86" t="str">
            <v>Individual</v>
          </cell>
          <cell r="H86" t="str">
            <v>-</v>
          </cell>
          <cell r="I86" t="str">
            <v>Denbigh School</v>
          </cell>
          <cell r="J86" t="str">
            <v>Southern</v>
          </cell>
          <cell r="K86">
            <v>0</v>
          </cell>
          <cell r="L86" t="str">
            <v>EFA</v>
          </cell>
        </row>
        <row r="87">
          <cell r="F87">
            <v>8795406</v>
          </cell>
          <cell r="G87" t="str">
            <v>Individual</v>
          </cell>
          <cell r="H87" t="str">
            <v>-</v>
          </cell>
          <cell r="I87" t="str">
            <v>Devonport High School for Boys</v>
          </cell>
          <cell r="J87" t="str">
            <v>Western</v>
          </cell>
          <cell r="K87" t="str">
            <v>Large</v>
          </cell>
          <cell r="L87" t="str">
            <v>EFA</v>
          </cell>
        </row>
        <row r="88">
          <cell r="F88">
            <v>3806908</v>
          </cell>
          <cell r="G88" t="str">
            <v xml:space="preserve">Individual </v>
          </cell>
          <cell r="H88" t="str">
            <v>-</v>
          </cell>
          <cell r="I88" t="str">
            <v>Dixons Allerton Academy</v>
          </cell>
          <cell r="J88" t="str">
            <v>Northern</v>
          </cell>
          <cell r="K88" t="str">
            <v>Large</v>
          </cell>
          <cell r="L88" t="str">
            <v>EFA</v>
          </cell>
        </row>
        <row r="89">
          <cell r="F89">
            <v>3806905</v>
          </cell>
          <cell r="G89" t="str">
            <v xml:space="preserve">Individual </v>
          </cell>
          <cell r="H89" t="str">
            <v>-</v>
          </cell>
          <cell r="I89" t="str">
            <v>Dixons City Academy</v>
          </cell>
          <cell r="J89" t="str">
            <v>Northern</v>
          </cell>
          <cell r="K89" t="str">
            <v>Large</v>
          </cell>
          <cell r="L89" t="str">
            <v>EFA</v>
          </cell>
        </row>
        <row r="90">
          <cell r="F90">
            <v>8926905</v>
          </cell>
          <cell r="G90">
            <v>0</v>
          </cell>
          <cell r="H90" t="str">
            <v>-</v>
          </cell>
          <cell r="I90" t="str">
            <v>Djanogly City Academy</v>
          </cell>
          <cell r="J90" t="str">
            <v>Eastern</v>
          </cell>
          <cell r="K90">
            <v>0</v>
          </cell>
          <cell r="L90" t="str">
            <v>EFA</v>
          </cell>
        </row>
        <row r="91">
          <cell r="F91">
            <v>8866917</v>
          </cell>
          <cell r="G91" t="str">
            <v>Individual</v>
          </cell>
          <cell r="H91" t="str">
            <v>-</v>
          </cell>
          <cell r="I91" t="str">
            <v>Dover Christ Church Academy</v>
          </cell>
          <cell r="J91" t="str">
            <v>Southern</v>
          </cell>
          <cell r="K91">
            <v>0</v>
          </cell>
          <cell r="L91" t="str">
            <v>EFA</v>
          </cell>
        </row>
        <row r="92">
          <cell r="F92">
            <v>8254504</v>
          </cell>
          <cell r="G92" t="str">
            <v>Individual</v>
          </cell>
          <cell r="H92" t="str">
            <v>-</v>
          </cell>
          <cell r="I92" t="str">
            <v>Dr Challoner's Grammar School</v>
          </cell>
          <cell r="J92" t="str">
            <v>Southern</v>
          </cell>
          <cell r="K92">
            <v>0</v>
          </cell>
          <cell r="L92" t="str">
            <v>EFA</v>
          </cell>
        </row>
        <row r="93">
          <cell r="F93">
            <v>3116905</v>
          </cell>
          <cell r="G93" t="str">
            <v>Individual</v>
          </cell>
          <cell r="H93" t="str">
            <v>-</v>
          </cell>
          <cell r="I93" t="str">
            <v>Drapers' Academy</v>
          </cell>
          <cell r="J93" t="str">
            <v>Southern</v>
          </cell>
          <cell r="K93">
            <v>0</v>
          </cell>
          <cell r="L93" t="str">
            <v>EFA</v>
          </cell>
        </row>
        <row r="94">
          <cell r="F94">
            <v>3576906</v>
          </cell>
          <cell r="G94" t="str">
            <v xml:space="preserve">Individual </v>
          </cell>
          <cell r="H94" t="str">
            <v>-</v>
          </cell>
          <cell r="I94" t="str">
            <v>Droylsden Academy</v>
          </cell>
          <cell r="J94" t="str">
            <v>Northern</v>
          </cell>
          <cell r="K94">
            <v>0</v>
          </cell>
          <cell r="L94" t="str">
            <v>EFA</v>
          </cell>
        </row>
        <row r="95">
          <cell r="F95">
            <v>8866918</v>
          </cell>
          <cell r="G95" t="str">
            <v>Individual</v>
          </cell>
          <cell r="H95" t="str">
            <v>-</v>
          </cell>
          <cell r="I95" t="str">
            <v>Duke of York's Royal Military School- An Academy with Military Traditions</v>
          </cell>
          <cell r="J95" t="str">
            <v>Southern</v>
          </cell>
          <cell r="K95">
            <v>0</v>
          </cell>
          <cell r="L95" t="str">
            <v>EFA</v>
          </cell>
        </row>
        <row r="96">
          <cell r="F96">
            <v>2102169</v>
          </cell>
          <cell r="G96" t="str">
            <v>Individual</v>
          </cell>
          <cell r="H96" t="str">
            <v>-</v>
          </cell>
          <cell r="I96" t="str">
            <v>Dulwich Hamlet Educational Trust</v>
          </cell>
          <cell r="J96" t="str">
            <v>Southern</v>
          </cell>
          <cell r="K96" t="str">
            <v>Small</v>
          </cell>
          <cell r="L96" t="str">
            <v>EFA</v>
          </cell>
        </row>
        <row r="97">
          <cell r="F97">
            <v>2085207</v>
          </cell>
          <cell r="G97" t="str">
            <v>Individual</v>
          </cell>
          <cell r="H97" t="str">
            <v>-</v>
          </cell>
          <cell r="I97" t="str">
            <v>Durand Primary School</v>
          </cell>
          <cell r="J97" t="str">
            <v>Southern</v>
          </cell>
          <cell r="K97">
            <v>0</v>
          </cell>
          <cell r="L97" t="str">
            <v>EFA</v>
          </cell>
        </row>
        <row r="98">
          <cell r="F98">
            <v>8456905</v>
          </cell>
          <cell r="G98" t="str">
            <v>Individual</v>
          </cell>
          <cell r="H98" t="str">
            <v>-</v>
          </cell>
          <cell r="I98" t="str">
            <v>Eastbourne Academy</v>
          </cell>
          <cell r="J98" t="str">
            <v>Southern</v>
          </cell>
          <cell r="K98">
            <v>0</v>
          </cell>
          <cell r="L98" t="str">
            <v>EFA</v>
          </cell>
        </row>
        <row r="99">
          <cell r="F99">
            <v>3906900</v>
          </cell>
          <cell r="G99" t="str">
            <v>Individual</v>
          </cell>
          <cell r="H99" t="str">
            <v>-</v>
          </cell>
          <cell r="I99" t="str">
            <v>Emmanuel College</v>
          </cell>
          <cell r="J99" t="str">
            <v>Southern</v>
          </cell>
          <cell r="K99">
            <v>0</v>
          </cell>
          <cell r="L99" t="str">
            <v>EFA</v>
          </cell>
        </row>
        <row r="100">
          <cell r="F100">
            <v>3416908</v>
          </cell>
          <cell r="G100" t="str">
            <v xml:space="preserve">Individual </v>
          </cell>
          <cell r="H100" t="str">
            <v>-</v>
          </cell>
          <cell r="I100" t="str">
            <v>Enterprise South Liverpool Academy</v>
          </cell>
          <cell r="J100" t="str">
            <v>Northern</v>
          </cell>
          <cell r="K100">
            <v>0</v>
          </cell>
          <cell r="L100" t="str">
            <v>EFA</v>
          </cell>
        </row>
        <row r="101">
          <cell r="F101">
            <v>3034022</v>
          </cell>
          <cell r="G101" t="str">
            <v>Individual</v>
          </cell>
          <cell r="H101" t="str">
            <v>-</v>
          </cell>
          <cell r="I101" t="str">
            <v>Erith School</v>
          </cell>
          <cell r="J101" t="str">
            <v>Southern</v>
          </cell>
          <cell r="K101">
            <v>0</v>
          </cell>
          <cell r="L101" t="str">
            <v>EFA</v>
          </cell>
        </row>
        <row r="102">
          <cell r="F102">
            <v>3506905</v>
          </cell>
          <cell r="G102" t="str">
            <v xml:space="preserve">Individual </v>
          </cell>
          <cell r="H102" t="str">
            <v>-</v>
          </cell>
          <cell r="I102" t="str">
            <v>Essa Academy</v>
          </cell>
          <cell r="J102" t="str">
            <v>Northern</v>
          </cell>
          <cell r="K102">
            <v>0</v>
          </cell>
          <cell r="L102" t="str">
            <v>EFA</v>
          </cell>
        </row>
        <row r="103">
          <cell r="F103">
            <v>3916905</v>
          </cell>
          <cell r="G103" t="str">
            <v xml:space="preserve">Individual </v>
          </cell>
          <cell r="H103" t="str">
            <v>-</v>
          </cell>
          <cell r="I103" t="str">
            <v>Excelsior Academy</v>
          </cell>
          <cell r="J103" t="str">
            <v>Northern</v>
          </cell>
          <cell r="K103">
            <v>0</v>
          </cell>
          <cell r="L103" t="str">
            <v>EFA</v>
          </cell>
        </row>
        <row r="104">
          <cell r="F104">
            <v>3575402</v>
          </cell>
          <cell r="G104" t="str">
            <v xml:space="preserve">Individual </v>
          </cell>
          <cell r="H104" t="str">
            <v>-</v>
          </cell>
          <cell r="I104" t="str">
            <v>Fairfield High School for Girls</v>
          </cell>
          <cell r="J104" t="str">
            <v>Northern</v>
          </cell>
          <cell r="K104">
            <v>0</v>
          </cell>
          <cell r="L104" t="str">
            <v>BDO</v>
          </cell>
        </row>
        <row r="105">
          <cell r="F105">
            <v>8955401</v>
          </cell>
          <cell r="G105" t="str">
            <v xml:space="preserve">Individual </v>
          </cell>
          <cell r="H105" t="str">
            <v>-</v>
          </cell>
          <cell r="I105" t="str">
            <v>Fallibroome High School</v>
          </cell>
          <cell r="J105" t="str">
            <v>Northern</v>
          </cell>
          <cell r="K105">
            <v>0</v>
          </cell>
          <cell r="L105" t="str">
            <v>BDO</v>
          </cell>
        </row>
        <row r="106">
          <cell r="F106">
            <v>8813832</v>
          </cell>
          <cell r="G106">
            <v>0</v>
          </cell>
          <cell r="H106" t="str">
            <v>-</v>
          </cell>
          <cell r="I106" t="str">
            <v>Flitch Green Primary</v>
          </cell>
          <cell r="J106" t="str">
            <v>Eastern</v>
          </cell>
          <cell r="K106">
            <v>0</v>
          </cell>
          <cell r="L106" t="str">
            <v>BDO</v>
          </cell>
        </row>
        <row r="107">
          <cell r="F107">
            <v>9352003</v>
          </cell>
          <cell r="G107">
            <v>0</v>
          </cell>
          <cell r="H107" t="str">
            <v>-</v>
          </cell>
          <cell r="I107" t="str">
            <v>Forest Academy</v>
          </cell>
          <cell r="J107" t="str">
            <v>Eastern</v>
          </cell>
          <cell r="K107">
            <v>0</v>
          </cell>
          <cell r="L107" t="str">
            <v>BDO</v>
          </cell>
        </row>
        <row r="108">
          <cell r="F108">
            <v>8874069</v>
          </cell>
          <cell r="G108" t="str">
            <v>Individual</v>
          </cell>
          <cell r="H108" t="str">
            <v>-</v>
          </cell>
          <cell r="I108" t="str">
            <v>Fort Pitt Grammar School</v>
          </cell>
          <cell r="J108" t="str">
            <v>Southern</v>
          </cell>
          <cell r="K108">
            <v>0</v>
          </cell>
          <cell r="L108" t="str">
            <v>BDO</v>
          </cell>
        </row>
        <row r="109">
          <cell r="F109">
            <v>9252057</v>
          </cell>
          <cell r="G109">
            <v>0</v>
          </cell>
          <cell r="H109" t="str">
            <v>-</v>
          </cell>
          <cell r="I109" t="str">
            <v>Fosse Way Academy</v>
          </cell>
          <cell r="J109" t="str">
            <v>Eastern</v>
          </cell>
          <cell r="K109">
            <v>0</v>
          </cell>
          <cell r="L109" t="str">
            <v>BDO</v>
          </cell>
        </row>
        <row r="110">
          <cell r="F110">
            <v>9196905</v>
          </cell>
          <cell r="G110">
            <v>0</v>
          </cell>
          <cell r="H110" t="str">
            <v>-</v>
          </cell>
          <cell r="I110" t="str">
            <v>Francis Combe Academy</v>
          </cell>
          <cell r="J110" t="str">
            <v>Eastern</v>
          </cell>
          <cell r="K110">
            <v>0</v>
          </cell>
          <cell r="L110" t="str">
            <v>BDO</v>
          </cell>
        </row>
        <row r="111">
          <cell r="F111">
            <v>8076905</v>
          </cell>
          <cell r="G111" t="str">
            <v xml:space="preserve">Individual </v>
          </cell>
          <cell r="H111" t="str">
            <v>-</v>
          </cell>
          <cell r="I111" t="str">
            <v>Freebrough Academy</v>
          </cell>
          <cell r="J111" t="str">
            <v>Northern</v>
          </cell>
          <cell r="K111">
            <v>0</v>
          </cell>
          <cell r="L111" t="str">
            <v>BDO</v>
          </cell>
        </row>
        <row r="112">
          <cell r="F112">
            <v>8865414</v>
          </cell>
          <cell r="G112" t="str">
            <v>Individual</v>
          </cell>
          <cell r="H112" t="str">
            <v>-</v>
          </cell>
          <cell r="I112" t="str">
            <v>Fulston Manor School</v>
          </cell>
          <cell r="J112" t="str">
            <v>Southern</v>
          </cell>
          <cell r="K112">
            <v>0</v>
          </cell>
          <cell r="L112" t="str">
            <v>BDO</v>
          </cell>
        </row>
        <row r="113">
          <cell r="F113">
            <v>8886906</v>
          </cell>
          <cell r="G113" t="str">
            <v xml:space="preserve">Individual </v>
          </cell>
          <cell r="H113" t="str">
            <v>-</v>
          </cell>
          <cell r="I113" t="str">
            <v>Fulwood Academy</v>
          </cell>
          <cell r="J113" t="str">
            <v>Northern</v>
          </cell>
          <cell r="K113">
            <v>0</v>
          </cell>
          <cell r="L113" t="str">
            <v>BDO</v>
          </cell>
        </row>
        <row r="114">
          <cell r="F114">
            <v>9096908</v>
          </cell>
          <cell r="G114" t="str">
            <v xml:space="preserve">Individual </v>
          </cell>
          <cell r="H114" t="str">
            <v>-</v>
          </cell>
          <cell r="I114" t="str">
            <v>Furness Academy</v>
          </cell>
          <cell r="J114" t="str">
            <v>Northern</v>
          </cell>
          <cell r="K114">
            <v>0</v>
          </cell>
          <cell r="L114" t="str">
            <v>BDO</v>
          </cell>
        </row>
        <row r="115">
          <cell r="F115">
            <v>8915401</v>
          </cell>
          <cell r="G115">
            <v>0</v>
          </cell>
          <cell r="H115" t="str">
            <v>-</v>
          </cell>
          <cell r="I115" t="str">
            <v>George Spencer Foundation School and Technology College</v>
          </cell>
          <cell r="J115" t="str">
            <v>Eastern</v>
          </cell>
          <cell r="K115">
            <v>0</v>
          </cell>
          <cell r="L115" t="str">
            <v>BDO</v>
          </cell>
        </row>
        <row r="116">
          <cell r="F116">
            <v>9166906</v>
          </cell>
          <cell r="G116" t="str">
            <v>Individual</v>
          </cell>
          <cell r="H116" t="str">
            <v>-</v>
          </cell>
          <cell r="I116" t="str">
            <v>Gloucester Academy</v>
          </cell>
          <cell r="J116" t="str">
            <v>Western</v>
          </cell>
          <cell r="K116">
            <v>0</v>
          </cell>
          <cell r="L116" t="str">
            <v>BDO</v>
          </cell>
        </row>
        <row r="117">
          <cell r="F117">
            <v>9365404</v>
          </cell>
          <cell r="G117" t="str">
            <v>Individual</v>
          </cell>
          <cell r="H117" t="str">
            <v>-</v>
          </cell>
          <cell r="I117" t="str">
            <v>Glyn School</v>
          </cell>
          <cell r="J117" t="str">
            <v>Southern</v>
          </cell>
          <cell r="K117">
            <v>0</v>
          </cell>
          <cell r="L117" t="str">
            <v>BDO</v>
          </cell>
        </row>
        <row r="118">
          <cell r="F118">
            <v>8662212</v>
          </cell>
          <cell r="G118" t="str">
            <v>Individual</v>
          </cell>
          <cell r="H118" t="str">
            <v>-</v>
          </cell>
          <cell r="I118" t="str">
            <v>Goddard Park Community Primary School</v>
          </cell>
          <cell r="J118" t="str">
            <v>Western</v>
          </cell>
          <cell r="K118">
            <v>0</v>
          </cell>
          <cell r="L118" t="str">
            <v>BDO</v>
          </cell>
        </row>
        <row r="119">
          <cell r="F119">
            <v>8224000</v>
          </cell>
          <cell r="G119">
            <v>0</v>
          </cell>
          <cell r="H119" t="str">
            <v>-</v>
          </cell>
          <cell r="I119" t="str">
            <v>Goldington Academy</v>
          </cell>
          <cell r="J119" t="str">
            <v>Eastern</v>
          </cell>
          <cell r="K119">
            <v>0</v>
          </cell>
          <cell r="L119" t="str">
            <v>BDO</v>
          </cell>
        </row>
        <row r="120">
          <cell r="F120">
            <v>3096905</v>
          </cell>
          <cell r="G120" t="str">
            <v>Individual</v>
          </cell>
          <cell r="H120" t="str">
            <v>-</v>
          </cell>
          <cell r="I120" t="str">
            <v>Greig City Academy</v>
          </cell>
          <cell r="J120" t="str">
            <v>Southern</v>
          </cell>
          <cell r="K120">
            <v>0</v>
          </cell>
          <cell r="L120" t="str">
            <v>BDO</v>
          </cell>
        </row>
        <row r="121">
          <cell r="F121">
            <v>9284042</v>
          </cell>
          <cell r="G121">
            <v>0</v>
          </cell>
          <cell r="H121" t="str">
            <v>-</v>
          </cell>
          <cell r="I121" t="str">
            <v>Guilsborough School</v>
          </cell>
          <cell r="J121" t="str">
            <v>Eastern</v>
          </cell>
          <cell r="K121">
            <v>0</v>
          </cell>
          <cell r="L121" t="str">
            <v>BDO</v>
          </cell>
        </row>
        <row r="122">
          <cell r="F122">
            <v>3124654</v>
          </cell>
          <cell r="G122" t="str">
            <v>Individual</v>
          </cell>
          <cell r="H122" t="str">
            <v>-</v>
          </cell>
          <cell r="I122" t="str">
            <v>Guru Nanak Academy</v>
          </cell>
          <cell r="J122" t="str">
            <v>Southern</v>
          </cell>
          <cell r="K122">
            <v>0</v>
          </cell>
          <cell r="L122" t="str">
            <v>BDO</v>
          </cell>
        </row>
        <row r="123">
          <cell r="F123">
            <v>8882040</v>
          </cell>
          <cell r="G123" t="str">
            <v xml:space="preserve">Individual </v>
          </cell>
          <cell r="H123" t="str">
            <v>-</v>
          </cell>
          <cell r="I123" t="str">
            <v>Hambleton Primary School</v>
          </cell>
          <cell r="J123" t="str">
            <v>Northern</v>
          </cell>
          <cell r="K123">
            <v>0</v>
          </cell>
          <cell r="L123" t="str">
            <v>BDO</v>
          </cell>
        </row>
        <row r="124">
          <cell r="F124">
            <v>3306910</v>
          </cell>
          <cell r="G124" t="str">
            <v>Individual</v>
          </cell>
          <cell r="H124" t="str">
            <v>-</v>
          </cell>
          <cell r="I124" t="str">
            <v>Harborne Academy</v>
          </cell>
          <cell r="J124" t="str">
            <v>Western</v>
          </cell>
          <cell r="K124">
            <v>0</v>
          </cell>
          <cell r="L124" t="str">
            <v>BDO</v>
          </cell>
        </row>
        <row r="125">
          <cell r="F125">
            <v>8655414</v>
          </cell>
          <cell r="G125" t="str">
            <v>Individual</v>
          </cell>
          <cell r="H125" t="str">
            <v>-</v>
          </cell>
          <cell r="I125" t="str">
            <v>Hardenhuish School</v>
          </cell>
          <cell r="J125" t="str">
            <v>Western</v>
          </cell>
          <cell r="K125">
            <v>0</v>
          </cell>
          <cell r="L125" t="str">
            <v>BDO</v>
          </cell>
        </row>
        <row r="126">
          <cell r="F126">
            <v>3126906</v>
          </cell>
          <cell r="G126" t="str">
            <v>Individual</v>
          </cell>
          <cell r="H126" t="str">
            <v>-</v>
          </cell>
          <cell r="I126" t="str">
            <v>Harefield Academy</v>
          </cell>
          <cell r="J126" t="str">
            <v>Southern</v>
          </cell>
          <cell r="K126">
            <v>0</v>
          </cell>
          <cell r="L126" t="str">
            <v>BDO</v>
          </cell>
        </row>
        <row r="127">
          <cell r="F127">
            <v>8154200</v>
          </cell>
          <cell r="G127" t="str">
            <v xml:space="preserve">Individual </v>
          </cell>
          <cell r="H127" t="str">
            <v>-</v>
          </cell>
          <cell r="I127" t="str">
            <v>Harrogate Grammar School</v>
          </cell>
          <cell r="J127" t="str">
            <v>Northern</v>
          </cell>
          <cell r="K127">
            <v>0</v>
          </cell>
          <cell r="L127" t="str">
            <v>BDO</v>
          </cell>
        </row>
        <row r="128">
          <cell r="F128">
            <v>9354036</v>
          </cell>
          <cell r="G128">
            <v>0</v>
          </cell>
          <cell r="H128" t="str">
            <v>-</v>
          </cell>
          <cell r="I128" t="str">
            <v>Hartismere School</v>
          </cell>
          <cell r="J128" t="str">
            <v>Eastern</v>
          </cell>
          <cell r="K128">
            <v>0</v>
          </cell>
          <cell r="L128" t="str">
            <v>BDO</v>
          </cell>
        </row>
        <row r="129">
          <cell r="F129">
            <v>8506905</v>
          </cell>
          <cell r="G129" t="str">
            <v>Individual</v>
          </cell>
          <cell r="H129" t="str">
            <v>-</v>
          </cell>
          <cell r="I129" t="str">
            <v>Havant Academy</v>
          </cell>
          <cell r="J129" t="str">
            <v>Southern</v>
          </cell>
          <cell r="K129">
            <v>0</v>
          </cell>
          <cell r="L129" t="str">
            <v>BDO</v>
          </cell>
        </row>
        <row r="130">
          <cell r="F130">
            <v>8124084</v>
          </cell>
          <cell r="G130" t="str">
            <v xml:space="preserve">Individual </v>
          </cell>
          <cell r="H130" t="str">
            <v>-</v>
          </cell>
          <cell r="I130" t="str">
            <v>Healing School, A Science Academy</v>
          </cell>
          <cell r="J130" t="str">
            <v>Northern</v>
          </cell>
          <cell r="K130">
            <v>0</v>
          </cell>
          <cell r="L130" t="str">
            <v>BDO</v>
          </cell>
        </row>
        <row r="131">
          <cell r="F131">
            <v>3825401</v>
          </cell>
          <cell r="G131" t="str">
            <v xml:space="preserve">Individual </v>
          </cell>
          <cell r="H131" t="str">
            <v>-</v>
          </cell>
          <cell r="I131" t="str">
            <v>Heckmondwike Grammar School</v>
          </cell>
          <cell r="J131" t="str">
            <v>Northern</v>
          </cell>
          <cell r="K131">
            <v>0</v>
          </cell>
          <cell r="L131" t="str">
            <v>BDO</v>
          </cell>
        </row>
        <row r="132">
          <cell r="F132">
            <v>8865448</v>
          </cell>
          <cell r="G132" t="str">
            <v>Individual</v>
          </cell>
          <cell r="H132" t="str">
            <v>-</v>
          </cell>
          <cell r="I132" t="str">
            <v>Herne Bay High School</v>
          </cell>
          <cell r="J132" t="str">
            <v>Southern</v>
          </cell>
          <cell r="K132">
            <v>0</v>
          </cell>
          <cell r="L132" t="str">
            <v>BDO</v>
          </cell>
        </row>
        <row r="133">
          <cell r="F133">
            <v>9164002</v>
          </cell>
          <cell r="G133" t="str">
            <v>Individual</v>
          </cell>
          <cell r="H133" t="str">
            <v>-</v>
          </cell>
          <cell r="I133" t="str">
            <v>High School for Girls</v>
          </cell>
          <cell r="J133" t="str">
            <v>Western</v>
          </cell>
          <cell r="K133">
            <v>0</v>
          </cell>
          <cell r="L133" t="str">
            <v>BDO</v>
          </cell>
        </row>
        <row r="134">
          <cell r="F134">
            <v>8704020</v>
          </cell>
          <cell r="G134" t="str">
            <v>Individual</v>
          </cell>
          <cell r="H134" t="str">
            <v>-</v>
          </cell>
          <cell r="I134" t="str">
            <v xml:space="preserve">Highdown School and Sixth Form Centre   </v>
          </cell>
          <cell r="J134" t="str">
            <v>Southern</v>
          </cell>
          <cell r="K134">
            <v>0</v>
          </cell>
          <cell r="L134" t="str">
            <v>BDO</v>
          </cell>
        </row>
        <row r="135">
          <cell r="F135">
            <v>8864080</v>
          </cell>
          <cell r="G135" t="str">
            <v>Individual</v>
          </cell>
          <cell r="H135" t="str">
            <v>-</v>
          </cell>
          <cell r="I135" t="str">
            <v>Highsted Grammar School</v>
          </cell>
          <cell r="J135" t="str">
            <v>Southern</v>
          </cell>
          <cell r="K135">
            <v>0</v>
          </cell>
          <cell r="L135" t="str">
            <v>BDO</v>
          </cell>
        </row>
        <row r="136">
          <cell r="F136">
            <v>8864092</v>
          </cell>
          <cell r="G136" t="str">
            <v>Individual</v>
          </cell>
          <cell r="H136" t="str">
            <v>-</v>
          </cell>
          <cell r="I136" t="str">
            <v>Highworth Grammar School</v>
          </cell>
          <cell r="J136" t="str">
            <v>Southern</v>
          </cell>
          <cell r="K136">
            <v>0</v>
          </cell>
          <cell r="L136" t="str">
            <v>BDO</v>
          </cell>
        </row>
        <row r="137">
          <cell r="F137">
            <v>3202018</v>
          </cell>
          <cell r="G137" t="str">
            <v>Individual</v>
          </cell>
          <cell r="H137" t="str">
            <v>-</v>
          </cell>
          <cell r="I137" t="str">
            <v>Hillyfield Academy</v>
          </cell>
          <cell r="J137" t="str">
            <v>Southern</v>
          </cell>
          <cell r="K137">
            <v>0</v>
          </cell>
          <cell r="L137" t="str">
            <v>BDO</v>
          </cell>
        </row>
        <row r="138">
          <cell r="F138">
            <v>9195427</v>
          </cell>
          <cell r="G138">
            <v>0</v>
          </cell>
          <cell r="H138" t="str">
            <v>-</v>
          </cell>
          <cell r="I138" t="str">
            <v xml:space="preserve">Hockerill Anglo-European College </v>
          </cell>
          <cell r="J138" t="str">
            <v>Eastern</v>
          </cell>
          <cell r="K138">
            <v>0</v>
          </cell>
          <cell r="L138" t="str">
            <v>BDO</v>
          </cell>
        </row>
        <row r="139">
          <cell r="F139">
            <v>9334274</v>
          </cell>
          <cell r="G139" t="str">
            <v>Individual</v>
          </cell>
          <cell r="H139" t="str">
            <v>-</v>
          </cell>
          <cell r="I139" t="str">
            <v>Holyrood Community School</v>
          </cell>
          <cell r="J139" t="str">
            <v>Western</v>
          </cell>
          <cell r="K139">
            <v>0</v>
          </cell>
          <cell r="L139" t="str">
            <v>BDO</v>
          </cell>
        </row>
        <row r="140">
          <cell r="F140">
            <v>9334259</v>
          </cell>
          <cell r="G140" t="str">
            <v>Individual</v>
          </cell>
          <cell r="H140" t="str">
            <v>-</v>
          </cell>
          <cell r="I140" t="str">
            <v xml:space="preserve">Huish Episcopi School </v>
          </cell>
          <cell r="J140" t="str">
            <v>Western</v>
          </cell>
          <cell r="K140">
            <v>0</v>
          </cell>
          <cell r="L140" t="str">
            <v>BDO</v>
          </cell>
        </row>
        <row r="141">
          <cell r="F141">
            <v>8414221</v>
          </cell>
          <cell r="G141" t="str">
            <v xml:space="preserve">Individual </v>
          </cell>
          <cell r="H141" t="str">
            <v>-</v>
          </cell>
          <cell r="I141" t="str">
            <v>Hurworth School</v>
          </cell>
          <cell r="J141" t="str">
            <v>Northern</v>
          </cell>
          <cell r="K141">
            <v>0</v>
          </cell>
          <cell r="L141" t="str">
            <v>BDO</v>
          </cell>
        </row>
        <row r="142">
          <cell r="F142">
            <v>8606906</v>
          </cell>
          <cell r="G142" t="str">
            <v>Individual</v>
          </cell>
          <cell r="H142" t="str">
            <v>-</v>
          </cell>
          <cell r="I142" t="str">
            <v>JCB Academy</v>
          </cell>
          <cell r="J142" t="str">
            <v>Western</v>
          </cell>
          <cell r="K142">
            <v>0</v>
          </cell>
          <cell r="L142" t="str">
            <v>BDO</v>
          </cell>
        </row>
        <row r="143">
          <cell r="F143">
            <v>3344661</v>
          </cell>
          <cell r="G143" t="str">
            <v>Individual</v>
          </cell>
          <cell r="H143" t="str">
            <v>-</v>
          </cell>
          <cell r="I143" t="str">
            <v>John Henry Newman Catholic College</v>
          </cell>
          <cell r="J143" t="str">
            <v>Western</v>
          </cell>
          <cell r="K143">
            <v>0</v>
          </cell>
          <cell r="L143" t="str">
            <v>BDO</v>
          </cell>
        </row>
        <row r="144">
          <cell r="F144">
            <v>8844428</v>
          </cell>
          <cell r="G144" t="str">
            <v>Individual</v>
          </cell>
          <cell r="H144" t="str">
            <v>-</v>
          </cell>
          <cell r="I144" t="str">
            <v>John Kyrle High School and Sixth Form Centre</v>
          </cell>
          <cell r="J144" t="str">
            <v>Western</v>
          </cell>
          <cell r="K144">
            <v>0</v>
          </cell>
          <cell r="L144" t="str">
            <v>BDO</v>
          </cell>
        </row>
        <row r="145">
          <cell r="F145">
            <v>8706905</v>
          </cell>
          <cell r="G145" t="str">
            <v>Individual</v>
          </cell>
          <cell r="H145" t="str">
            <v>-</v>
          </cell>
          <cell r="I145" t="str">
            <v>John Madejski Academy</v>
          </cell>
          <cell r="J145" t="str">
            <v>Southern</v>
          </cell>
          <cell r="K145">
            <v>0</v>
          </cell>
          <cell r="L145" t="str">
            <v>BDO</v>
          </cell>
        </row>
        <row r="146">
          <cell r="F146">
            <v>8604061</v>
          </cell>
          <cell r="G146" t="str">
            <v>Individual</v>
          </cell>
          <cell r="H146" t="str">
            <v>-</v>
          </cell>
          <cell r="I146" t="str">
            <v xml:space="preserve">John Taylor High School   </v>
          </cell>
          <cell r="J146" t="str">
            <v>Western</v>
          </cell>
          <cell r="K146">
            <v>0</v>
          </cell>
          <cell r="L146" t="str">
            <v>BDO</v>
          </cell>
        </row>
        <row r="147">
          <cell r="F147">
            <v>3506907</v>
          </cell>
          <cell r="G147" t="str">
            <v xml:space="preserve">Individual </v>
          </cell>
          <cell r="H147" t="str">
            <v>-</v>
          </cell>
          <cell r="I147" t="str">
            <v>Kearsley Academy</v>
          </cell>
          <cell r="J147" t="str">
            <v>Northern</v>
          </cell>
          <cell r="K147">
            <v>0</v>
          </cell>
          <cell r="L147" t="str">
            <v>BDO</v>
          </cell>
        </row>
        <row r="148">
          <cell r="F148">
            <v>8705413</v>
          </cell>
          <cell r="G148" t="str">
            <v>Individual</v>
          </cell>
          <cell r="H148" t="str">
            <v>-</v>
          </cell>
          <cell r="I148" t="str">
            <v>Kendrick School</v>
          </cell>
          <cell r="J148" t="str">
            <v>Southern</v>
          </cell>
          <cell r="K148">
            <v>0</v>
          </cell>
          <cell r="L148" t="str">
            <v>BDO</v>
          </cell>
        </row>
        <row r="149">
          <cell r="F149">
            <v>8694042</v>
          </cell>
          <cell r="G149" t="str">
            <v>Individual</v>
          </cell>
          <cell r="H149" t="str">
            <v>-</v>
          </cell>
          <cell r="I149" t="str">
            <v>Kennet School</v>
          </cell>
          <cell r="J149" t="str">
            <v>Southern</v>
          </cell>
          <cell r="K149">
            <v>0</v>
          </cell>
          <cell r="L149" t="str">
            <v>BDO</v>
          </cell>
        </row>
        <row r="150">
          <cell r="F150">
            <v>9286909</v>
          </cell>
          <cell r="G150">
            <v>0</v>
          </cell>
          <cell r="H150" t="str">
            <v>-</v>
          </cell>
          <cell r="I150" t="str">
            <v>Kettering Science Academy</v>
          </cell>
          <cell r="J150" t="str">
            <v>Eastern</v>
          </cell>
          <cell r="K150">
            <v>0</v>
          </cell>
          <cell r="L150" t="str">
            <v>BDO</v>
          </cell>
        </row>
        <row r="151">
          <cell r="F151">
            <v>3306906</v>
          </cell>
          <cell r="G151" t="str">
            <v>Individual</v>
          </cell>
          <cell r="H151" t="str">
            <v>-</v>
          </cell>
          <cell r="I151" t="str">
            <v>King Edward VI Sheldon Heath Academy</v>
          </cell>
          <cell r="J151" t="str">
            <v>Western</v>
          </cell>
          <cell r="K151">
            <v>0</v>
          </cell>
          <cell r="L151" t="str">
            <v>BDO</v>
          </cell>
        </row>
        <row r="152">
          <cell r="F152">
            <v>8066906</v>
          </cell>
          <cell r="G152" t="str">
            <v>Individual</v>
          </cell>
          <cell r="H152" t="str">
            <v>-</v>
          </cell>
          <cell r="I152" t="str">
            <v>King's Academy</v>
          </cell>
          <cell r="J152" t="str">
            <v>Southern</v>
          </cell>
          <cell r="K152">
            <v>0</v>
          </cell>
          <cell r="L152" t="str">
            <v>BDO</v>
          </cell>
        </row>
        <row r="153">
          <cell r="F153">
            <v>9266909</v>
          </cell>
          <cell r="G153">
            <v>0</v>
          </cell>
          <cell r="H153" t="str">
            <v>-</v>
          </cell>
          <cell r="I153" t="str">
            <v>King's Lynn Academy</v>
          </cell>
          <cell r="J153" t="str">
            <v>Eastern</v>
          </cell>
          <cell r="K153">
            <v>0</v>
          </cell>
          <cell r="L153" t="str">
            <v>BDO</v>
          </cell>
        </row>
        <row r="154">
          <cell r="F154">
            <v>8784110</v>
          </cell>
          <cell r="G154" t="str">
            <v>Individual</v>
          </cell>
          <cell r="H154" t="str">
            <v>-</v>
          </cell>
          <cell r="I154" t="str">
            <v>Kingsbridge Community College</v>
          </cell>
          <cell r="J154" t="str">
            <v>Western</v>
          </cell>
          <cell r="K154">
            <v>0</v>
          </cell>
          <cell r="L154" t="str">
            <v>BDO</v>
          </cell>
        </row>
        <row r="155">
          <cell r="F155">
            <v>2104265</v>
          </cell>
          <cell r="G155" t="str">
            <v>Individual</v>
          </cell>
          <cell r="H155" t="str">
            <v>-</v>
          </cell>
          <cell r="I155" t="str">
            <v xml:space="preserve">Kingsdale Foundation School   </v>
          </cell>
          <cell r="J155" t="str">
            <v>Southern</v>
          </cell>
          <cell r="K155">
            <v>0</v>
          </cell>
          <cell r="L155" t="str">
            <v>BDO</v>
          </cell>
        </row>
        <row r="156">
          <cell r="F156">
            <v>3084015</v>
          </cell>
          <cell r="G156" t="str">
            <v>Individual</v>
          </cell>
          <cell r="H156" t="str">
            <v>-</v>
          </cell>
          <cell r="I156" t="str">
            <v>Kingsmead School</v>
          </cell>
          <cell r="J156" t="str">
            <v>Southern</v>
          </cell>
          <cell r="K156">
            <v>0</v>
          </cell>
          <cell r="L156" t="str">
            <v>BDO</v>
          </cell>
        </row>
        <row r="157">
          <cell r="F157">
            <v>8304169</v>
          </cell>
          <cell r="G157">
            <v>0</v>
          </cell>
          <cell r="H157" t="str">
            <v>-</v>
          </cell>
          <cell r="I157" t="str">
            <v>Kirk Hallam Community Technology &amp; Sports College</v>
          </cell>
          <cell r="J157" t="str">
            <v>Eastern</v>
          </cell>
          <cell r="K157">
            <v>0</v>
          </cell>
          <cell r="L157" t="str">
            <v>BDO</v>
          </cell>
        </row>
        <row r="158">
          <cell r="F158">
            <v>9095400</v>
          </cell>
          <cell r="G158" t="str">
            <v xml:space="preserve">Individual </v>
          </cell>
          <cell r="H158" t="str">
            <v>-</v>
          </cell>
          <cell r="I158" t="str">
            <v>Kirkbie Kendal School</v>
          </cell>
          <cell r="J158" t="str">
            <v>Northern</v>
          </cell>
          <cell r="K158">
            <v>0</v>
          </cell>
          <cell r="L158" t="str">
            <v>BDO</v>
          </cell>
        </row>
        <row r="159">
          <cell r="F159">
            <v>8866905</v>
          </cell>
          <cell r="G159" t="str">
            <v>Individual</v>
          </cell>
          <cell r="H159" t="str">
            <v>-</v>
          </cell>
          <cell r="I159" t="str">
            <v>Knole Academy</v>
          </cell>
          <cell r="J159" t="str">
            <v>Southern</v>
          </cell>
          <cell r="K159">
            <v>0</v>
          </cell>
          <cell r="L159" t="str">
            <v>BDO</v>
          </cell>
        </row>
        <row r="160">
          <cell r="F160">
            <v>3134027</v>
          </cell>
          <cell r="G160" t="str">
            <v>Individual</v>
          </cell>
          <cell r="H160" t="str">
            <v>-</v>
          </cell>
          <cell r="I160" t="str">
            <v>Lampton School</v>
          </cell>
          <cell r="J160" t="str">
            <v>Southern</v>
          </cell>
          <cell r="K160">
            <v>0</v>
          </cell>
          <cell r="L160" t="str">
            <v>BDO</v>
          </cell>
        </row>
        <row r="161">
          <cell r="F161">
            <v>8885402</v>
          </cell>
          <cell r="G161" t="str">
            <v xml:space="preserve">Individual </v>
          </cell>
          <cell r="H161" t="str">
            <v>-</v>
          </cell>
          <cell r="I161" t="str">
            <v>Lancaster Girls' Grammar School</v>
          </cell>
          <cell r="J161" t="str">
            <v>Northern</v>
          </cell>
          <cell r="K161">
            <v>0</v>
          </cell>
          <cell r="L161" t="str">
            <v>BDO</v>
          </cell>
        </row>
        <row r="162">
          <cell r="F162">
            <v>8885401</v>
          </cell>
          <cell r="G162" t="str">
            <v xml:space="preserve">Individual </v>
          </cell>
          <cell r="H162" t="str">
            <v>-</v>
          </cell>
          <cell r="I162" t="str">
            <v>Lancaster Royal Grammar School</v>
          </cell>
          <cell r="J162" t="str">
            <v>Northern</v>
          </cell>
          <cell r="K162">
            <v>0</v>
          </cell>
          <cell r="L162" t="str">
            <v>BDO</v>
          </cell>
        </row>
        <row r="163">
          <cell r="F163">
            <v>8716905</v>
          </cell>
          <cell r="G163" t="str">
            <v>Individual</v>
          </cell>
          <cell r="H163" t="str">
            <v>-</v>
          </cell>
          <cell r="I163" t="str">
            <v>Langley Academy</v>
          </cell>
          <cell r="J163" t="str">
            <v>Southern</v>
          </cell>
          <cell r="K163">
            <v>0</v>
          </cell>
          <cell r="L163" t="str">
            <v>BDO</v>
          </cell>
        </row>
        <row r="164">
          <cell r="F164">
            <v>8715405</v>
          </cell>
          <cell r="G164" t="str">
            <v>Individual</v>
          </cell>
          <cell r="H164" t="str">
            <v>-</v>
          </cell>
          <cell r="I164" t="str">
            <v>Langley Grammar School</v>
          </cell>
          <cell r="J164" t="str">
            <v>Southern</v>
          </cell>
          <cell r="K164">
            <v>0</v>
          </cell>
          <cell r="L164" t="str">
            <v>BDO</v>
          </cell>
        </row>
        <row r="165">
          <cell r="F165">
            <v>8232217</v>
          </cell>
          <cell r="G165">
            <v>0</v>
          </cell>
          <cell r="H165" t="str">
            <v>-</v>
          </cell>
          <cell r="I165" t="str">
            <v>Lark Rise Academy</v>
          </cell>
          <cell r="J165" t="str">
            <v>Eastern</v>
          </cell>
          <cell r="K165">
            <v>0</v>
          </cell>
          <cell r="L165" t="str">
            <v>BDO</v>
          </cell>
        </row>
        <row r="166">
          <cell r="F166">
            <v>8655402</v>
          </cell>
          <cell r="G166" t="str">
            <v>Individual</v>
          </cell>
          <cell r="H166" t="str">
            <v>-</v>
          </cell>
          <cell r="I166" t="str">
            <v>Lavington School</v>
          </cell>
          <cell r="J166" t="str">
            <v>Western</v>
          </cell>
          <cell r="K166">
            <v>0</v>
          </cell>
          <cell r="L166" t="str">
            <v>BDO</v>
          </cell>
        </row>
        <row r="167">
          <cell r="F167">
            <v>3502018</v>
          </cell>
          <cell r="G167" t="str">
            <v xml:space="preserve">Individual </v>
          </cell>
          <cell r="H167" t="str">
            <v>-</v>
          </cell>
          <cell r="I167" t="str">
            <v>Lever Edge Primary School</v>
          </cell>
          <cell r="J167" t="str">
            <v>Northern</v>
          </cell>
          <cell r="K167">
            <v>0</v>
          </cell>
          <cell r="L167" t="str">
            <v>BDO</v>
          </cell>
        </row>
        <row r="168">
          <cell r="F168">
            <v>8732072</v>
          </cell>
          <cell r="G168">
            <v>0</v>
          </cell>
          <cell r="H168" t="str">
            <v>-</v>
          </cell>
          <cell r="I168" t="str">
            <v>Leverington Primary Academy</v>
          </cell>
          <cell r="J168" t="str">
            <v>Eastern</v>
          </cell>
          <cell r="K168">
            <v>0</v>
          </cell>
          <cell r="L168" t="str">
            <v>BDO</v>
          </cell>
        </row>
        <row r="169">
          <cell r="F169">
            <v>8735416</v>
          </cell>
          <cell r="G169">
            <v>0</v>
          </cell>
          <cell r="H169" t="str">
            <v>-</v>
          </cell>
          <cell r="I169" t="str">
            <v>Linton Village College</v>
          </cell>
          <cell r="J169" t="str">
            <v>Eastern</v>
          </cell>
          <cell r="K169">
            <v>0</v>
          </cell>
          <cell r="L169" t="str">
            <v>BDO</v>
          </cell>
        </row>
        <row r="170">
          <cell r="F170">
            <v>3026905</v>
          </cell>
          <cell r="G170" t="str">
            <v>Individual</v>
          </cell>
          <cell r="H170" t="str">
            <v>-</v>
          </cell>
          <cell r="I170" t="str">
            <v>London Academy</v>
          </cell>
          <cell r="J170" t="str">
            <v>Southern</v>
          </cell>
          <cell r="K170">
            <v>0</v>
          </cell>
          <cell r="L170" t="str">
            <v>BDO</v>
          </cell>
        </row>
        <row r="171">
          <cell r="F171">
            <v>8682186</v>
          </cell>
          <cell r="G171" t="str">
            <v>Individual</v>
          </cell>
          <cell r="H171" t="str">
            <v>-</v>
          </cell>
          <cell r="I171" t="str">
            <v>Lowbrook Primary School</v>
          </cell>
          <cell r="J171" t="str">
            <v>Southern</v>
          </cell>
          <cell r="K171">
            <v>0</v>
          </cell>
          <cell r="L171" t="str">
            <v>BDO</v>
          </cell>
        </row>
        <row r="172">
          <cell r="F172">
            <v>8066907</v>
          </cell>
          <cell r="G172" t="str">
            <v xml:space="preserve">Individual </v>
          </cell>
          <cell r="H172" t="str">
            <v>-</v>
          </cell>
          <cell r="I172" t="str">
            <v>Macmillan Academy</v>
          </cell>
          <cell r="J172" t="str">
            <v>Northern</v>
          </cell>
          <cell r="K172">
            <v>0</v>
          </cell>
          <cell r="L172" t="str">
            <v>BDO</v>
          </cell>
        </row>
        <row r="173">
          <cell r="F173">
            <v>8946905</v>
          </cell>
          <cell r="G173" t="str">
            <v>Individual</v>
          </cell>
          <cell r="H173" t="str">
            <v>-</v>
          </cell>
          <cell r="I173" t="str">
            <v>Madeley Academy</v>
          </cell>
          <cell r="J173" t="str">
            <v>Western</v>
          </cell>
          <cell r="K173">
            <v>0</v>
          </cell>
          <cell r="L173" t="str">
            <v>BDO</v>
          </cell>
        </row>
        <row r="174">
          <cell r="F174">
            <v>8724053</v>
          </cell>
          <cell r="G174" t="str">
            <v>Individual</v>
          </cell>
          <cell r="H174" t="str">
            <v>-</v>
          </cell>
          <cell r="I174" t="str">
            <v>Maiden Erlegh School</v>
          </cell>
          <cell r="J174" t="str">
            <v>Southern</v>
          </cell>
          <cell r="K174">
            <v>0</v>
          </cell>
          <cell r="L174" t="str">
            <v>BDO</v>
          </cell>
        </row>
        <row r="175">
          <cell r="F175">
            <v>3726905</v>
          </cell>
          <cell r="G175" t="str">
            <v xml:space="preserve">Individual </v>
          </cell>
          <cell r="H175" t="str">
            <v>-</v>
          </cell>
          <cell r="I175" t="str">
            <v>Maltby Academy</v>
          </cell>
          <cell r="J175" t="str">
            <v>Northern</v>
          </cell>
          <cell r="K175">
            <v>0</v>
          </cell>
          <cell r="L175" t="str">
            <v>BDO</v>
          </cell>
        </row>
        <row r="176">
          <cell r="F176">
            <v>3526913</v>
          </cell>
          <cell r="G176" t="str">
            <v xml:space="preserve">Individual </v>
          </cell>
          <cell r="H176" t="str">
            <v>-</v>
          </cell>
          <cell r="I176" t="str">
            <v>Manchester Communications Academy</v>
          </cell>
          <cell r="J176" t="str">
            <v>Northern</v>
          </cell>
          <cell r="K176">
            <v>0</v>
          </cell>
          <cell r="L176" t="str">
            <v>BDO</v>
          </cell>
        </row>
        <row r="177">
          <cell r="F177">
            <v>3526908</v>
          </cell>
          <cell r="G177" t="str">
            <v xml:space="preserve">Individual </v>
          </cell>
          <cell r="H177" t="str">
            <v>-</v>
          </cell>
          <cell r="I177" t="str">
            <v>Manchester Enterprise Academy</v>
          </cell>
          <cell r="J177" t="str">
            <v>Northern</v>
          </cell>
          <cell r="K177">
            <v>0</v>
          </cell>
          <cell r="L177" t="str">
            <v>BDO</v>
          </cell>
        </row>
        <row r="178">
          <cell r="F178">
            <v>3526909</v>
          </cell>
          <cell r="G178" t="str">
            <v xml:space="preserve">Individual </v>
          </cell>
          <cell r="H178" t="str">
            <v>-</v>
          </cell>
          <cell r="I178" t="str">
            <v>Manchester Health Academy</v>
          </cell>
          <cell r="J178" t="str">
            <v>Northern</v>
          </cell>
          <cell r="K178">
            <v>0</v>
          </cell>
          <cell r="L178" t="str">
            <v>BDO</v>
          </cell>
        </row>
        <row r="179">
          <cell r="F179">
            <v>8796906</v>
          </cell>
          <cell r="G179" t="str">
            <v>Individual</v>
          </cell>
          <cell r="H179" t="str">
            <v>-</v>
          </cell>
          <cell r="I179" t="str">
            <v>Marine Academy Plymouth</v>
          </cell>
          <cell r="J179" t="str">
            <v>Western</v>
          </cell>
          <cell r="K179">
            <v>0</v>
          </cell>
          <cell r="L179" t="str">
            <v>BDO</v>
          </cell>
        </row>
        <row r="180">
          <cell r="F180">
            <v>8866906</v>
          </cell>
          <cell r="G180" t="str">
            <v>Individual</v>
          </cell>
          <cell r="H180" t="str">
            <v>-</v>
          </cell>
          <cell r="I180" t="str">
            <v>Marlowe Academy</v>
          </cell>
          <cell r="J180" t="str">
            <v>Southern</v>
          </cell>
          <cell r="K180">
            <v>0</v>
          </cell>
          <cell r="L180" t="str">
            <v>BDO</v>
          </cell>
        </row>
        <row r="181">
          <cell r="F181">
            <v>8866909</v>
          </cell>
          <cell r="G181" t="str">
            <v>Individual</v>
          </cell>
          <cell r="H181" t="str">
            <v>-</v>
          </cell>
          <cell r="I181" t="str">
            <v>Marsh Academy</v>
          </cell>
          <cell r="J181" t="str">
            <v>Southern</v>
          </cell>
          <cell r="K181">
            <v>0</v>
          </cell>
          <cell r="L181" t="str">
            <v>BDO</v>
          </cell>
        </row>
        <row r="182">
          <cell r="F182">
            <v>9262006</v>
          </cell>
          <cell r="G182">
            <v>0</v>
          </cell>
          <cell r="H182" t="str">
            <v>-</v>
          </cell>
          <cell r="I182" t="str">
            <v xml:space="preserve">Martham Foundation Primary School and Nursery  </v>
          </cell>
          <cell r="J182" t="str">
            <v>Eastern</v>
          </cell>
          <cell r="K182">
            <v>0</v>
          </cell>
          <cell r="L182" t="str">
            <v>BDO</v>
          </cell>
        </row>
        <row r="183">
          <cell r="F183">
            <v>8862656</v>
          </cell>
          <cell r="G183" t="str">
            <v>Individual</v>
          </cell>
          <cell r="H183" t="str">
            <v>-</v>
          </cell>
          <cell r="I183" t="str">
            <v xml:space="preserve">Meopham Community Primary School </v>
          </cell>
          <cell r="J183" t="str">
            <v>Southern</v>
          </cell>
          <cell r="K183">
            <v>0</v>
          </cell>
          <cell r="L183" t="str">
            <v>BDO</v>
          </cell>
        </row>
        <row r="184">
          <cell r="F184">
            <v>8016910</v>
          </cell>
          <cell r="G184" t="str">
            <v>Individual</v>
          </cell>
          <cell r="H184" t="str">
            <v>-</v>
          </cell>
          <cell r="I184" t="str">
            <v>Merchants' Academy</v>
          </cell>
          <cell r="J184" t="str">
            <v>Western</v>
          </cell>
          <cell r="K184">
            <v>0</v>
          </cell>
          <cell r="L184" t="str">
            <v>BDO</v>
          </cell>
        </row>
        <row r="185">
          <cell r="F185">
            <v>3834101</v>
          </cell>
          <cell r="G185" t="str">
            <v xml:space="preserve">Individual </v>
          </cell>
          <cell r="H185" t="str">
            <v>-</v>
          </cell>
          <cell r="I185" t="str">
            <v>Morley Academy</v>
          </cell>
          <cell r="J185" t="str">
            <v>Northern</v>
          </cell>
          <cell r="K185">
            <v>0</v>
          </cell>
          <cell r="L185" t="str">
            <v>BDO</v>
          </cell>
        </row>
        <row r="186">
          <cell r="F186">
            <v>2046905</v>
          </cell>
          <cell r="G186" t="str">
            <v>Individual</v>
          </cell>
          <cell r="H186" t="str">
            <v>-</v>
          </cell>
          <cell r="I186" t="str">
            <v>Mossbourne Community Academy</v>
          </cell>
          <cell r="J186" t="str">
            <v>Southern</v>
          </cell>
          <cell r="K186">
            <v>0</v>
          </cell>
          <cell r="L186" t="str">
            <v>BDO</v>
          </cell>
        </row>
        <row r="187">
          <cell r="F187">
            <v>3576905</v>
          </cell>
          <cell r="G187" t="str">
            <v xml:space="preserve">Individual </v>
          </cell>
          <cell r="H187" t="str">
            <v>-</v>
          </cell>
          <cell r="I187" t="str">
            <v>New Charter Academy</v>
          </cell>
          <cell r="J187" t="str">
            <v>Northern</v>
          </cell>
          <cell r="K187">
            <v>0</v>
          </cell>
          <cell r="L187" t="str">
            <v>BDO</v>
          </cell>
        </row>
        <row r="188">
          <cell r="F188">
            <v>8944364</v>
          </cell>
          <cell r="G188" t="str">
            <v>Individual</v>
          </cell>
          <cell r="H188" t="str">
            <v>-</v>
          </cell>
          <cell r="I188" t="str">
            <v>Newport Girls' High School Academy Trust</v>
          </cell>
          <cell r="J188" t="str">
            <v>Western</v>
          </cell>
          <cell r="K188">
            <v>0</v>
          </cell>
          <cell r="L188" t="str">
            <v>BDO</v>
          </cell>
        </row>
        <row r="189">
          <cell r="F189">
            <v>9082406</v>
          </cell>
          <cell r="G189" t="str">
            <v>Individual</v>
          </cell>
          <cell r="H189" t="str">
            <v>-</v>
          </cell>
          <cell r="I189" t="str">
            <v>Newquay Junior School</v>
          </cell>
          <cell r="J189" t="str">
            <v>Western</v>
          </cell>
          <cell r="K189">
            <v>0</v>
          </cell>
          <cell r="L189" t="str">
            <v>BDO</v>
          </cell>
        </row>
        <row r="190">
          <cell r="F190">
            <v>9282214</v>
          </cell>
          <cell r="G190">
            <v>0</v>
          </cell>
          <cell r="H190" t="str">
            <v>-</v>
          </cell>
          <cell r="I190" t="str">
            <v>Nicholas Hawksmoor Primary School</v>
          </cell>
          <cell r="J190" t="str">
            <v>Eastern</v>
          </cell>
          <cell r="K190">
            <v>0</v>
          </cell>
          <cell r="L190" t="str">
            <v>BDO</v>
          </cell>
        </row>
        <row r="191">
          <cell r="F191">
            <v>3305411</v>
          </cell>
          <cell r="G191" t="str">
            <v>Individual</v>
          </cell>
          <cell r="H191" t="str">
            <v>-</v>
          </cell>
          <cell r="I191" t="str">
            <v xml:space="preserve">Ninestiles School </v>
          </cell>
          <cell r="J191" t="str">
            <v>Western</v>
          </cell>
          <cell r="K191">
            <v>0</v>
          </cell>
          <cell r="L191" t="str">
            <v>BDO</v>
          </cell>
        </row>
        <row r="192">
          <cell r="F192">
            <v>8404000</v>
          </cell>
          <cell r="G192" t="str">
            <v xml:space="preserve">Individual </v>
          </cell>
          <cell r="H192" t="str">
            <v>-</v>
          </cell>
          <cell r="I192" t="str">
            <v>North Durham Academy (The)</v>
          </cell>
          <cell r="J192" t="str">
            <v>Northern</v>
          </cell>
          <cell r="K192">
            <v>0</v>
          </cell>
          <cell r="L192" t="str">
            <v>BDO</v>
          </cell>
        </row>
        <row r="193">
          <cell r="F193">
            <v>3416906</v>
          </cell>
          <cell r="G193" t="str">
            <v xml:space="preserve">Individual </v>
          </cell>
          <cell r="H193" t="str">
            <v>-</v>
          </cell>
          <cell r="I193" t="str">
            <v>North Liverpool Academy</v>
          </cell>
          <cell r="J193" t="str">
            <v>Northern</v>
          </cell>
          <cell r="K193">
            <v>0</v>
          </cell>
          <cell r="L193" t="str">
            <v>BDO</v>
          </cell>
        </row>
        <row r="194">
          <cell r="F194">
            <v>8086906</v>
          </cell>
          <cell r="G194" t="str">
            <v xml:space="preserve">Individual </v>
          </cell>
          <cell r="H194" t="str">
            <v>-</v>
          </cell>
          <cell r="I194" t="str">
            <v>North Shore Health Academy</v>
          </cell>
          <cell r="J194" t="str">
            <v>Northern</v>
          </cell>
          <cell r="K194">
            <v>0</v>
          </cell>
          <cell r="L194" t="str">
            <v>BDO</v>
          </cell>
        </row>
        <row r="195">
          <cell r="F195">
            <v>9285404</v>
          </cell>
          <cell r="G195">
            <v>0</v>
          </cell>
          <cell r="H195" t="str">
            <v>-</v>
          </cell>
          <cell r="I195" t="str">
            <v>Northampton School for Boys</v>
          </cell>
          <cell r="J195" t="str">
            <v>Eastern</v>
          </cell>
          <cell r="K195">
            <v>0</v>
          </cell>
          <cell r="L195" t="str">
            <v>BDO</v>
          </cell>
        </row>
        <row r="196">
          <cell r="F196">
            <v>9296906</v>
          </cell>
          <cell r="G196" t="str">
            <v xml:space="preserve">Individual </v>
          </cell>
          <cell r="H196" t="str">
            <v>-</v>
          </cell>
          <cell r="I196" t="str">
            <v>Northumberland Church of England Academy</v>
          </cell>
          <cell r="J196" t="str">
            <v>Northern</v>
          </cell>
          <cell r="K196">
            <v>0</v>
          </cell>
          <cell r="L196" t="str">
            <v>BDO</v>
          </cell>
        </row>
        <row r="197">
          <cell r="F197">
            <v>8926906</v>
          </cell>
          <cell r="G197">
            <v>0</v>
          </cell>
          <cell r="H197" t="str">
            <v>-</v>
          </cell>
          <cell r="I197" t="str">
            <v>Nottingham University Samworth Academy</v>
          </cell>
          <cell r="J197" t="str">
            <v>Eastern</v>
          </cell>
          <cell r="K197">
            <v>0</v>
          </cell>
          <cell r="L197" t="str">
            <v>BDO</v>
          </cell>
        </row>
        <row r="198">
          <cell r="F198">
            <v>8264703</v>
          </cell>
          <cell r="G198" t="str">
            <v>Individual</v>
          </cell>
          <cell r="H198" t="str">
            <v>-</v>
          </cell>
          <cell r="I198" t="str">
            <v>Oakgrove School</v>
          </cell>
          <cell r="J198" t="str">
            <v>Southern</v>
          </cell>
          <cell r="K198">
            <v>0</v>
          </cell>
          <cell r="L198" t="str">
            <v>BDO</v>
          </cell>
        </row>
        <row r="199">
          <cell r="F199">
            <v>8005401</v>
          </cell>
          <cell r="G199" t="str">
            <v>Individual</v>
          </cell>
          <cell r="H199" t="str">
            <v>-</v>
          </cell>
          <cell r="I199" t="str">
            <v>Oldfield School</v>
          </cell>
          <cell r="J199" t="str">
            <v>Western</v>
          </cell>
          <cell r="K199">
            <v>0</v>
          </cell>
          <cell r="L199" t="str">
            <v>BDO</v>
          </cell>
        </row>
        <row r="200">
          <cell r="F200">
            <v>9266905</v>
          </cell>
          <cell r="G200">
            <v>0</v>
          </cell>
          <cell r="H200" t="str">
            <v>-</v>
          </cell>
          <cell r="I200" t="str">
            <v>Open Academy</v>
          </cell>
          <cell r="J200" t="str">
            <v>Eastern</v>
          </cell>
          <cell r="K200">
            <v>0</v>
          </cell>
          <cell r="L200" t="str">
            <v>BDO</v>
          </cell>
        </row>
        <row r="201">
          <cell r="F201">
            <v>8792693</v>
          </cell>
          <cell r="G201" t="str">
            <v>Individual</v>
          </cell>
          <cell r="H201" t="str">
            <v>-</v>
          </cell>
          <cell r="I201" t="str">
            <v>Oreston Community Primary and Nursery Trust</v>
          </cell>
          <cell r="J201" t="str">
            <v>Western</v>
          </cell>
          <cell r="K201">
            <v>0</v>
          </cell>
          <cell r="L201" t="str">
            <v>BDO</v>
          </cell>
        </row>
        <row r="202">
          <cell r="F202">
            <v>8836905</v>
          </cell>
          <cell r="G202" t="str">
            <v>Individual</v>
          </cell>
          <cell r="H202" t="str">
            <v>-</v>
          </cell>
          <cell r="I202" t="str">
            <v>Ormiston - The Gateway Academy (Not Hard Fed)</v>
          </cell>
          <cell r="J202" t="str">
            <v>Western</v>
          </cell>
          <cell r="K202">
            <v>0</v>
          </cell>
          <cell r="L202" t="str">
            <v>BDO</v>
          </cell>
        </row>
        <row r="203">
          <cell r="F203">
            <v>3356906</v>
          </cell>
          <cell r="G203" t="str">
            <v>Individual</v>
          </cell>
          <cell r="H203" t="str">
            <v>-</v>
          </cell>
          <cell r="I203" t="str">
            <v>Ormiston Shelfield Community Academy (Not Hard Fed)</v>
          </cell>
          <cell r="J203" t="str">
            <v>Western</v>
          </cell>
          <cell r="K203">
            <v>0</v>
          </cell>
          <cell r="L203" t="str">
            <v>BDO</v>
          </cell>
        </row>
        <row r="204">
          <cell r="F204">
            <v>3844023</v>
          </cell>
          <cell r="G204" t="str">
            <v xml:space="preserve">Individual </v>
          </cell>
          <cell r="H204" t="str">
            <v>-</v>
          </cell>
          <cell r="I204" t="str">
            <v>Ossett Academy</v>
          </cell>
          <cell r="J204" t="str">
            <v>Northern</v>
          </cell>
          <cell r="K204">
            <v>0</v>
          </cell>
          <cell r="L204" t="str">
            <v>BDO</v>
          </cell>
        </row>
        <row r="205">
          <cell r="F205">
            <v>3346906</v>
          </cell>
          <cell r="G205" t="str">
            <v>Individual</v>
          </cell>
          <cell r="H205" t="str">
            <v>-</v>
          </cell>
          <cell r="I205" t="str">
            <v>Park Hall Academy</v>
          </cell>
          <cell r="J205" t="str">
            <v>Western</v>
          </cell>
          <cell r="K205">
            <v>0</v>
          </cell>
          <cell r="L205" t="str">
            <v>BDO</v>
          </cell>
        </row>
        <row r="206">
          <cell r="F206">
            <v>3355200</v>
          </cell>
          <cell r="G206" t="str">
            <v>Individual</v>
          </cell>
          <cell r="H206" t="str">
            <v>-</v>
          </cell>
          <cell r="I206" t="str">
            <v>Park Hall Infant Academy</v>
          </cell>
          <cell r="J206" t="str">
            <v>Western</v>
          </cell>
          <cell r="K206">
            <v>0</v>
          </cell>
          <cell r="L206" t="str">
            <v>BDO</v>
          </cell>
        </row>
        <row r="207">
          <cell r="F207">
            <v>3582005</v>
          </cell>
          <cell r="G207" t="str">
            <v xml:space="preserve">Individual </v>
          </cell>
          <cell r="H207" t="str">
            <v>-</v>
          </cell>
          <cell r="I207" t="str">
            <v>Park Road Primary School</v>
          </cell>
          <cell r="J207" t="str">
            <v>Northern</v>
          </cell>
          <cell r="K207">
            <v>0</v>
          </cell>
          <cell r="L207" t="str">
            <v>BDO</v>
          </cell>
        </row>
        <row r="208">
          <cell r="F208">
            <v>8365403</v>
          </cell>
          <cell r="G208" t="str">
            <v>Individual</v>
          </cell>
          <cell r="H208" t="str">
            <v>-</v>
          </cell>
          <cell r="I208" t="str">
            <v>Parkstone Grammar School</v>
          </cell>
          <cell r="J208" t="str">
            <v>Western</v>
          </cell>
          <cell r="K208">
            <v>0</v>
          </cell>
          <cell r="L208" t="str">
            <v>BDO</v>
          </cell>
        </row>
        <row r="209">
          <cell r="F209">
            <v>9165403</v>
          </cell>
          <cell r="G209" t="str">
            <v>Individual</v>
          </cell>
          <cell r="H209" t="str">
            <v>-</v>
          </cell>
          <cell r="I209" t="str">
            <v xml:space="preserve">Pate's Grammar School </v>
          </cell>
          <cell r="J209" t="str">
            <v>Western</v>
          </cell>
          <cell r="K209">
            <v>0</v>
          </cell>
          <cell r="L209" t="str">
            <v>BDO</v>
          </cell>
        </row>
        <row r="210">
          <cell r="F210">
            <v>2136908</v>
          </cell>
          <cell r="G210" t="str">
            <v>Individual</v>
          </cell>
          <cell r="H210" t="str">
            <v>-</v>
          </cell>
          <cell r="I210" t="str">
            <v>Pimlico Academy</v>
          </cell>
          <cell r="J210" t="str">
            <v>Southern</v>
          </cell>
          <cell r="K210">
            <v>0</v>
          </cell>
          <cell r="L210" t="str">
            <v>BDO</v>
          </cell>
        </row>
        <row r="211">
          <cell r="F211">
            <v>9084163</v>
          </cell>
          <cell r="G211" t="str">
            <v>Individual</v>
          </cell>
          <cell r="H211" t="str">
            <v>-</v>
          </cell>
          <cell r="I211" t="str">
            <v>Pool Academy</v>
          </cell>
          <cell r="J211" t="str">
            <v>Western</v>
          </cell>
          <cell r="K211">
            <v>0</v>
          </cell>
          <cell r="L211" t="str">
            <v>BDO</v>
          </cell>
        </row>
        <row r="212">
          <cell r="F212">
            <v>8855403</v>
          </cell>
          <cell r="G212" t="str">
            <v>Individual</v>
          </cell>
          <cell r="H212" t="str">
            <v>-</v>
          </cell>
          <cell r="I212" t="str">
            <v>Prince Henry's High school</v>
          </cell>
          <cell r="J212" t="str">
            <v>Western</v>
          </cell>
          <cell r="K212">
            <v>0</v>
          </cell>
          <cell r="L212" t="str">
            <v>BDO</v>
          </cell>
        </row>
        <row r="213">
          <cell r="F213">
            <v>8942181</v>
          </cell>
          <cell r="G213" t="str">
            <v>Individual</v>
          </cell>
          <cell r="H213" t="str">
            <v>-</v>
          </cell>
          <cell r="I213" t="str">
            <v>Priorslee Primary School</v>
          </cell>
          <cell r="J213" t="str">
            <v>Western</v>
          </cell>
          <cell r="K213">
            <v>0</v>
          </cell>
          <cell r="L213" t="str">
            <v>BDO</v>
          </cell>
        </row>
        <row r="214">
          <cell r="F214">
            <v>3336908</v>
          </cell>
          <cell r="G214" t="str">
            <v>Individual</v>
          </cell>
          <cell r="H214" t="str">
            <v>-</v>
          </cell>
          <cell r="I214" t="str">
            <v>Q3 Academy</v>
          </cell>
          <cell r="J214" t="str">
            <v>Western</v>
          </cell>
          <cell r="K214">
            <v>0</v>
          </cell>
          <cell r="L214" t="str">
            <v>BDO</v>
          </cell>
        </row>
        <row r="215">
          <cell r="F215">
            <v>9095411</v>
          </cell>
          <cell r="G215" t="str">
            <v xml:space="preserve">Individual </v>
          </cell>
          <cell r="H215" t="str">
            <v>-</v>
          </cell>
          <cell r="I215" t="str">
            <v>Queen Elizabeth School</v>
          </cell>
          <cell r="J215" t="str">
            <v>Northern</v>
          </cell>
          <cell r="K215">
            <v>0</v>
          </cell>
          <cell r="L215" t="str">
            <v>BDO</v>
          </cell>
        </row>
        <row r="216">
          <cell r="F216">
            <v>9255401</v>
          </cell>
          <cell r="G216">
            <v>0</v>
          </cell>
          <cell r="H216" t="str">
            <v>-</v>
          </cell>
          <cell r="I216" t="str">
            <v>Queen Elizabeth’s Grammar, Alford – A Selective Academy</v>
          </cell>
          <cell r="J216" t="str">
            <v>Eastern</v>
          </cell>
          <cell r="K216">
            <v>0</v>
          </cell>
          <cell r="L216" t="str">
            <v>BDO</v>
          </cell>
        </row>
        <row r="217">
          <cell r="F217">
            <v>3025401</v>
          </cell>
          <cell r="G217" t="str">
            <v>Individual</v>
          </cell>
          <cell r="H217" t="str">
            <v>-</v>
          </cell>
          <cell r="I217" t="str">
            <v>Queen Elizabeth's School, Barnet</v>
          </cell>
          <cell r="J217" t="str">
            <v>Southern</v>
          </cell>
          <cell r="K217">
            <v>0</v>
          </cell>
          <cell r="L217" t="str">
            <v>BDO</v>
          </cell>
        </row>
        <row r="218">
          <cell r="F218">
            <v>3125403</v>
          </cell>
          <cell r="G218" t="str">
            <v>Individual</v>
          </cell>
          <cell r="H218" t="str">
            <v>-</v>
          </cell>
          <cell r="I218" t="str">
            <v>Queensmead School</v>
          </cell>
          <cell r="J218" t="str">
            <v>Southern</v>
          </cell>
          <cell r="K218">
            <v>0</v>
          </cell>
          <cell r="L218" t="str">
            <v>BDO</v>
          </cell>
        </row>
        <row r="219">
          <cell r="F219">
            <v>8705401</v>
          </cell>
          <cell r="G219" t="str">
            <v>Individual</v>
          </cell>
          <cell r="H219" t="str">
            <v>-</v>
          </cell>
          <cell r="I219" t="str">
            <v>Reading School</v>
          </cell>
          <cell r="J219" t="str">
            <v>Southern</v>
          </cell>
          <cell r="K219">
            <v>0</v>
          </cell>
          <cell r="L219" t="str">
            <v>BDO</v>
          </cell>
        </row>
        <row r="220">
          <cell r="F220">
            <v>3946907</v>
          </cell>
          <cell r="G220" t="str">
            <v xml:space="preserve">Individual </v>
          </cell>
          <cell r="H220" t="str">
            <v>-</v>
          </cell>
          <cell r="I220" t="str">
            <v>Red House Academy</v>
          </cell>
          <cell r="J220" t="str">
            <v>Northern</v>
          </cell>
          <cell r="K220">
            <v>0</v>
          </cell>
          <cell r="L220" t="str">
            <v>BDO</v>
          </cell>
        </row>
        <row r="221">
          <cell r="F221">
            <v>8914084</v>
          </cell>
          <cell r="G221">
            <v>0</v>
          </cell>
          <cell r="H221" t="str">
            <v>-</v>
          </cell>
          <cell r="I221" t="str">
            <v>Redhill Academy</v>
          </cell>
          <cell r="J221" t="str">
            <v>Eastern</v>
          </cell>
          <cell r="K221">
            <v>0</v>
          </cell>
          <cell r="L221" t="str">
            <v>BDO</v>
          </cell>
        </row>
        <row r="222">
          <cell r="F222">
            <v>9165200</v>
          </cell>
          <cell r="G222" t="str">
            <v>Individual</v>
          </cell>
          <cell r="H222" t="str">
            <v>-</v>
          </cell>
          <cell r="I222" t="str">
            <v>Robinswood Primary School</v>
          </cell>
          <cell r="J222" t="str">
            <v>Western</v>
          </cell>
          <cell r="K222">
            <v>0</v>
          </cell>
          <cell r="L222" t="str">
            <v>BDO</v>
          </cell>
        </row>
        <row r="223">
          <cell r="F223">
            <v>3202040</v>
          </cell>
          <cell r="G223" t="str">
            <v>Individual</v>
          </cell>
          <cell r="H223" t="str">
            <v>-</v>
          </cell>
          <cell r="I223" t="str">
            <v>Roger Ascham Primary School</v>
          </cell>
          <cell r="J223" t="str">
            <v>Southern</v>
          </cell>
          <cell r="K223">
            <v>0</v>
          </cell>
          <cell r="L223" t="str">
            <v>BDO</v>
          </cell>
        </row>
        <row r="224">
          <cell r="F224">
            <v>9375406</v>
          </cell>
          <cell r="G224" t="str">
            <v>Individual</v>
          </cell>
          <cell r="H224" t="str">
            <v>-</v>
          </cell>
          <cell r="I224" t="str">
            <v>Rugby High School</v>
          </cell>
          <cell r="J224" t="str">
            <v>Western</v>
          </cell>
          <cell r="K224">
            <v>0</v>
          </cell>
          <cell r="L224" t="str">
            <v>BDO</v>
          </cell>
        </row>
        <row r="225">
          <cell r="F225">
            <v>3352224</v>
          </cell>
          <cell r="G225" t="str">
            <v>Individual</v>
          </cell>
          <cell r="H225" t="str">
            <v>-</v>
          </cell>
          <cell r="I225" t="str">
            <v>Ryders Hayes Academy Trust</v>
          </cell>
          <cell r="J225" t="str">
            <v>Western</v>
          </cell>
          <cell r="K225">
            <v>0</v>
          </cell>
          <cell r="L225" t="str">
            <v>BDO</v>
          </cell>
        </row>
        <row r="226">
          <cell r="F226">
            <v>3584029</v>
          </cell>
          <cell r="G226" t="str">
            <v xml:space="preserve">Individual </v>
          </cell>
          <cell r="H226" t="str">
            <v>-</v>
          </cell>
          <cell r="I226" t="str">
            <v xml:space="preserve">Sale Grammar School </v>
          </cell>
          <cell r="J226" t="str">
            <v>Northern</v>
          </cell>
          <cell r="K226">
            <v>0</v>
          </cell>
          <cell r="L226" t="str">
            <v>BDO</v>
          </cell>
        </row>
        <row r="227">
          <cell r="F227">
            <v>9084143</v>
          </cell>
          <cell r="G227" t="str">
            <v>Individual</v>
          </cell>
          <cell r="H227" t="str">
            <v>-</v>
          </cell>
          <cell r="I227" t="str">
            <v>saltash.net Academy Trust</v>
          </cell>
          <cell r="J227" t="str">
            <v>Western</v>
          </cell>
          <cell r="K227">
            <v>0</v>
          </cell>
          <cell r="L227" t="str">
            <v>BDO</v>
          </cell>
        </row>
        <row r="228">
          <cell r="F228">
            <v>9354102</v>
          </cell>
          <cell r="G228">
            <v>0</v>
          </cell>
          <cell r="H228" t="str">
            <v>-</v>
          </cell>
          <cell r="I228" t="str">
            <v>Samuel Ward Academy</v>
          </cell>
          <cell r="J228" t="str">
            <v>Eastern</v>
          </cell>
          <cell r="K228">
            <v>0</v>
          </cell>
          <cell r="L228" t="str">
            <v>BDO</v>
          </cell>
        </row>
        <row r="229">
          <cell r="F229">
            <v>8916905</v>
          </cell>
          <cell r="G229">
            <v>0</v>
          </cell>
          <cell r="H229" t="str">
            <v>-</v>
          </cell>
          <cell r="I229" t="str">
            <v>Samworth Church Academy</v>
          </cell>
          <cell r="J229" t="str">
            <v>Eastern</v>
          </cell>
          <cell r="K229">
            <v>0</v>
          </cell>
          <cell r="L229" t="str">
            <v>BDO</v>
          </cell>
        </row>
        <row r="230">
          <cell r="F230">
            <v>8566905</v>
          </cell>
          <cell r="G230">
            <v>0</v>
          </cell>
          <cell r="H230" t="str">
            <v>-</v>
          </cell>
          <cell r="I230" t="str">
            <v>Samworth Enterprise Academy</v>
          </cell>
          <cell r="J230" t="str">
            <v>Eastern</v>
          </cell>
          <cell r="K230">
            <v>0</v>
          </cell>
          <cell r="L230" t="str">
            <v>BDO</v>
          </cell>
        </row>
        <row r="231">
          <cell r="F231">
            <v>8954123</v>
          </cell>
          <cell r="G231" t="str">
            <v xml:space="preserve">Individual </v>
          </cell>
          <cell r="H231" t="str">
            <v>-</v>
          </cell>
          <cell r="I231" t="str">
            <v xml:space="preserve">Sandbach High School and Sixth Form College  </v>
          </cell>
          <cell r="J231" t="str">
            <v>Northern</v>
          </cell>
          <cell r="K231">
            <v>0</v>
          </cell>
          <cell r="L231" t="str">
            <v>BDO</v>
          </cell>
        </row>
        <row r="232">
          <cell r="F232">
            <v>9194197</v>
          </cell>
          <cell r="G232">
            <v>0</v>
          </cell>
          <cell r="H232" t="str">
            <v>-</v>
          </cell>
          <cell r="I232" t="str">
            <v>Sandringham School</v>
          </cell>
          <cell r="J232" t="str">
            <v>Eastern</v>
          </cell>
          <cell r="K232">
            <v>0</v>
          </cell>
          <cell r="L232" t="str">
            <v>BDO</v>
          </cell>
        </row>
        <row r="233">
          <cell r="F233">
            <v>3336905</v>
          </cell>
          <cell r="G233" t="str">
            <v>Individual</v>
          </cell>
          <cell r="H233" t="str">
            <v>-</v>
          </cell>
          <cell r="I233" t="str">
            <v>Sandwell Academy</v>
          </cell>
          <cell r="J233" t="str">
            <v>Western</v>
          </cell>
          <cell r="K233">
            <v>0</v>
          </cell>
          <cell r="L233" t="str">
            <v>BDO</v>
          </cell>
        </row>
        <row r="234">
          <cell r="F234">
            <v>8865463</v>
          </cell>
          <cell r="G234" t="str">
            <v>Individual</v>
          </cell>
          <cell r="H234" t="str">
            <v>-</v>
          </cell>
          <cell r="I234" t="str">
            <v xml:space="preserve">Sandwich Technology School  </v>
          </cell>
          <cell r="J234" t="str">
            <v>Southern</v>
          </cell>
          <cell r="K234">
            <v>0</v>
          </cell>
          <cell r="L234" t="str">
            <v>BDO</v>
          </cell>
        </row>
        <row r="235">
          <cell r="F235">
            <v>9082448</v>
          </cell>
          <cell r="G235" t="str">
            <v>Individual</v>
          </cell>
          <cell r="H235" t="str">
            <v>-</v>
          </cell>
          <cell r="I235" t="str">
            <v>Sandy Hill Community Primary School</v>
          </cell>
          <cell r="J235" t="str">
            <v>Western</v>
          </cell>
          <cell r="K235">
            <v>0</v>
          </cell>
          <cell r="L235" t="str">
            <v>BDO</v>
          </cell>
        </row>
        <row r="236">
          <cell r="F236">
            <v>8234033</v>
          </cell>
          <cell r="G236">
            <v>0</v>
          </cell>
          <cell r="H236" t="str">
            <v>-</v>
          </cell>
          <cell r="I236" t="str">
            <v>Sandye Place Academy</v>
          </cell>
          <cell r="J236" t="str">
            <v>Eastern</v>
          </cell>
          <cell r="K236">
            <v>0</v>
          </cell>
          <cell r="L236" t="str">
            <v>BDO</v>
          </cell>
        </row>
        <row r="237">
          <cell r="F237">
            <v>8656906</v>
          </cell>
          <cell r="G237" t="str">
            <v>Individual</v>
          </cell>
          <cell r="H237" t="str">
            <v>-</v>
          </cell>
          <cell r="I237" t="str">
            <v>Sarum Academy</v>
          </cell>
          <cell r="J237" t="str">
            <v>Western</v>
          </cell>
          <cell r="K237">
            <v>0</v>
          </cell>
          <cell r="L237" t="str">
            <v>BDO</v>
          </cell>
        </row>
        <row r="238">
          <cell r="F238">
            <v>9092130</v>
          </cell>
          <cell r="G238" t="str">
            <v xml:space="preserve">Individual </v>
          </cell>
          <cell r="H238" t="str">
            <v>-</v>
          </cell>
          <cell r="I238" t="str">
            <v>Seaton Academy</v>
          </cell>
          <cell r="J238" t="str">
            <v>Northern</v>
          </cell>
          <cell r="K238">
            <v>0</v>
          </cell>
          <cell r="L238" t="str">
            <v>BDO</v>
          </cell>
        </row>
        <row r="239">
          <cell r="F239">
            <v>3355402</v>
          </cell>
          <cell r="G239" t="str">
            <v>Individual</v>
          </cell>
          <cell r="H239" t="str">
            <v>-</v>
          </cell>
          <cell r="I239" t="str">
            <v>Shire Oak Academy</v>
          </cell>
          <cell r="J239" t="str">
            <v>Western</v>
          </cell>
          <cell r="K239">
            <v>0</v>
          </cell>
          <cell r="L239" t="str">
            <v>BDO</v>
          </cell>
        </row>
        <row r="240">
          <cell r="F240">
            <v>8306905</v>
          </cell>
          <cell r="G240">
            <v>0</v>
          </cell>
          <cell r="H240" t="str">
            <v>-</v>
          </cell>
          <cell r="I240" t="str">
            <v>Shirebrook Academy</v>
          </cell>
          <cell r="J240" t="str">
            <v>Eastern</v>
          </cell>
          <cell r="K240">
            <v>0</v>
          </cell>
          <cell r="L240" t="str">
            <v>BDO</v>
          </cell>
        </row>
        <row r="241">
          <cell r="F241">
            <v>3316906</v>
          </cell>
          <cell r="G241" t="str">
            <v>Individual</v>
          </cell>
          <cell r="H241" t="str">
            <v>-</v>
          </cell>
          <cell r="I241" t="str">
            <v>Sidney Stringer Academy</v>
          </cell>
          <cell r="J241" t="str">
            <v>Western</v>
          </cell>
          <cell r="K241">
            <v>0</v>
          </cell>
          <cell r="L241" t="str">
            <v>BDO</v>
          </cell>
        </row>
        <row r="242">
          <cell r="F242">
            <v>8865428</v>
          </cell>
          <cell r="G242" t="str">
            <v>Individual</v>
          </cell>
          <cell r="H242" t="str">
            <v>-</v>
          </cell>
          <cell r="I242" t="str">
            <v>Sir Roger Manwood's School</v>
          </cell>
          <cell r="J242" t="str">
            <v>Southern</v>
          </cell>
          <cell r="K242">
            <v>0</v>
          </cell>
          <cell r="L242" t="str">
            <v>BDO</v>
          </cell>
        </row>
        <row r="243">
          <cell r="F243">
            <v>9164001</v>
          </cell>
          <cell r="G243" t="str">
            <v>Individual</v>
          </cell>
          <cell r="H243" t="str">
            <v>-</v>
          </cell>
          <cell r="I243" t="str">
            <v>Sir Thomas Rich's School</v>
          </cell>
          <cell r="J243" t="str">
            <v>Western</v>
          </cell>
          <cell r="K243">
            <v>0</v>
          </cell>
          <cell r="L243" t="str">
            <v>BDO</v>
          </cell>
        </row>
        <row r="244">
          <cell r="F244">
            <v>8106906</v>
          </cell>
          <cell r="G244" t="str">
            <v xml:space="preserve">Individual </v>
          </cell>
          <cell r="H244" t="str">
            <v>-</v>
          </cell>
          <cell r="I244" t="str">
            <v>Sirius Academy</v>
          </cell>
          <cell r="J244" t="str">
            <v>Northern</v>
          </cell>
          <cell r="K244">
            <v>0</v>
          </cell>
          <cell r="L244" t="str">
            <v>BDO</v>
          </cell>
        </row>
        <row r="245">
          <cell r="F245">
            <v>2046909</v>
          </cell>
          <cell r="G245" t="str">
            <v>Individual</v>
          </cell>
          <cell r="H245" t="str">
            <v>-</v>
          </cell>
          <cell r="I245" t="str">
            <v>Skinners' Academy</v>
          </cell>
          <cell r="J245" t="str">
            <v>Southern</v>
          </cell>
          <cell r="K245">
            <v>0</v>
          </cell>
          <cell r="L245" t="str">
            <v>BDO</v>
          </cell>
        </row>
        <row r="246">
          <cell r="F246">
            <v>8866916</v>
          </cell>
          <cell r="G246" t="str">
            <v>Individual</v>
          </cell>
          <cell r="H246" t="str">
            <v>-</v>
          </cell>
          <cell r="I246" t="str">
            <v>Skinners' Kent Academy</v>
          </cell>
          <cell r="J246" t="str">
            <v>Southern</v>
          </cell>
          <cell r="K246">
            <v>0</v>
          </cell>
          <cell r="L246" t="str">
            <v>BDO</v>
          </cell>
        </row>
        <row r="247">
          <cell r="F247">
            <v>8715408</v>
          </cell>
          <cell r="G247" t="str">
            <v>Individual</v>
          </cell>
          <cell r="H247" t="str">
            <v>-</v>
          </cell>
          <cell r="I247" t="str">
            <v>Slough Grammar School</v>
          </cell>
          <cell r="J247" t="str">
            <v>Southern</v>
          </cell>
          <cell r="K247">
            <v>0</v>
          </cell>
          <cell r="L247" t="str">
            <v>BDO</v>
          </cell>
        </row>
        <row r="248">
          <cell r="F248">
            <v>8735415</v>
          </cell>
          <cell r="G248">
            <v>0</v>
          </cell>
          <cell r="H248" t="str">
            <v>-</v>
          </cell>
          <cell r="I248" t="str">
            <v>Soham Village College</v>
          </cell>
          <cell r="J248" t="str">
            <v>Eastern</v>
          </cell>
          <cell r="K248">
            <v>0</v>
          </cell>
          <cell r="L248" t="str">
            <v>BDO</v>
          </cell>
        </row>
        <row r="249">
          <cell r="F249">
            <v>8114056</v>
          </cell>
          <cell r="G249" t="str">
            <v xml:space="preserve">Individual </v>
          </cell>
          <cell r="H249" t="str">
            <v>-</v>
          </cell>
          <cell r="I249" t="str">
            <v>South Hunsley School and Sixth Form College</v>
          </cell>
          <cell r="J249" t="str">
            <v>Northern</v>
          </cell>
          <cell r="K249">
            <v>0</v>
          </cell>
          <cell r="L249" t="str">
            <v>BDO</v>
          </cell>
        </row>
        <row r="250">
          <cell r="F250">
            <v>3836907</v>
          </cell>
          <cell r="G250" t="str">
            <v xml:space="preserve">Individual </v>
          </cell>
          <cell r="H250" t="str">
            <v>-</v>
          </cell>
          <cell r="I250" t="str">
            <v>South Leeds Academy</v>
          </cell>
          <cell r="J250" t="str">
            <v>Northern</v>
          </cell>
          <cell r="K250">
            <v>0</v>
          </cell>
          <cell r="L250" t="str">
            <v>BDO</v>
          </cell>
        </row>
        <row r="251">
          <cell r="F251">
            <v>8655412</v>
          </cell>
          <cell r="G251" t="str">
            <v>Individual</v>
          </cell>
          <cell r="H251" t="str">
            <v>-</v>
          </cell>
          <cell r="I251" t="str">
            <v>South Wilts Grammar School</v>
          </cell>
          <cell r="J251" t="str">
            <v>Western</v>
          </cell>
          <cell r="K251">
            <v>0</v>
          </cell>
          <cell r="L251" t="str">
            <v>BDO</v>
          </cell>
        </row>
        <row r="252">
          <cell r="F252">
            <v>8825446</v>
          </cell>
          <cell r="G252">
            <v>0</v>
          </cell>
          <cell r="H252" t="str">
            <v>-</v>
          </cell>
          <cell r="I252" t="str">
            <v>Southend High School for Boys</v>
          </cell>
          <cell r="J252" t="str">
            <v>Eastern</v>
          </cell>
          <cell r="K252">
            <v>0</v>
          </cell>
          <cell r="L252" t="str">
            <v>BDO</v>
          </cell>
        </row>
        <row r="253">
          <cell r="F253">
            <v>8825428</v>
          </cell>
          <cell r="G253">
            <v>0</v>
          </cell>
          <cell r="H253" t="str">
            <v>-</v>
          </cell>
          <cell r="I253" t="str">
            <v>Southend High School for Girls</v>
          </cell>
          <cell r="J253" t="str">
            <v>Eastern</v>
          </cell>
          <cell r="K253">
            <v>0</v>
          </cell>
          <cell r="L253" t="str">
            <v>BDO</v>
          </cell>
        </row>
        <row r="254">
          <cell r="F254">
            <v>9382136</v>
          </cell>
          <cell r="G254" t="str">
            <v>Individual</v>
          </cell>
          <cell r="H254" t="str">
            <v>-</v>
          </cell>
          <cell r="I254" t="str">
            <v>Southwater Infant School</v>
          </cell>
          <cell r="J254" t="str">
            <v>Southern</v>
          </cell>
          <cell r="K254">
            <v>0</v>
          </cell>
          <cell r="L254" t="str">
            <v>BDO</v>
          </cell>
        </row>
        <row r="255">
          <cell r="F255">
            <v>8866911</v>
          </cell>
          <cell r="G255" t="str">
            <v>Individual</v>
          </cell>
          <cell r="H255" t="str">
            <v>-</v>
          </cell>
          <cell r="I255" t="str">
            <v>Spires Academy</v>
          </cell>
          <cell r="J255" t="str">
            <v>Southern</v>
          </cell>
          <cell r="K255">
            <v>0</v>
          </cell>
          <cell r="L255" t="str">
            <v>BDO</v>
          </cell>
        </row>
        <row r="256">
          <cell r="F256">
            <v>9284004</v>
          </cell>
          <cell r="G256">
            <v>0</v>
          </cell>
          <cell r="H256" t="str">
            <v>-</v>
          </cell>
          <cell r="I256" t="str">
            <v>Sponne School</v>
          </cell>
          <cell r="J256" t="str">
            <v>Eastern</v>
          </cell>
          <cell r="K256">
            <v>0</v>
          </cell>
          <cell r="L256" t="str">
            <v>BDO</v>
          </cell>
        </row>
        <row r="257">
          <cell r="F257">
            <v>9264081</v>
          </cell>
          <cell r="G257">
            <v>0</v>
          </cell>
          <cell r="H257" t="str">
            <v>-</v>
          </cell>
          <cell r="I257" t="str">
            <v>Springwood High School</v>
          </cell>
          <cell r="J257" t="str">
            <v>Eastern</v>
          </cell>
          <cell r="K257">
            <v>0</v>
          </cell>
          <cell r="L257" t="str">
            <v>BDO</v>
          </cell>
        </row>
        <row r="258">
          <cell r="F258">
            <v>8416905</v>
          </cell>
          <cell r="G258" t="str">
            <v xml:space="preserve">Individual </v>
          </cell>
          <cell r="H258" t="str">
            <v>-</v>
          </cell>
          <cell r="I258" t="str">
            <v>St Aidan's Church of England Academy</v>
          </cell>
          <cell r="J258" t="str">
            <v>Northern</v>
          </cell>
          <cell r="K258">
            <v>0</v>
          </cell>
          <cell r="L258" t="str">
            <v>BDO</v>
          </cell>
        </row>
        <row r="259">
          <cell r="F259">
            <v>8366905</v>
          </cell>
          <cell r="G259" t="str">
            <v>Individual</v>
          </cell>
          <cell r="H259" t="str">
            <v>-</v>
          </cell>
          <cell r="I259" t="str">
            <v>St Aldhelm's Academy</v>
          </cell>
          <cell r="J259" t="str">
            <v>Western</v>
          </cell>
          <cell r="K259">
            <v>0</v>
          </cell>
          <cell r="L259" t="str">
            <v>BDO</v>
          </cell>
        </row>
        <row r="260">
          <cell r="F260">
            <v>3546905</v>
          </cell>
          <cell r="G260" t="str">
            <v xml:space="preserve">Individual </v>
          </cell>
          <cell r="H260" t="str">
            <v>-</v>
          </cell>
          <cell r="I260" t="str">
            <v>St Anne's Academy</v>
          </cell>
          <cell r="J260" t="str">
            <v>Northern</v>
          </cell>
          <cell r="K260">
            <v>0</v>
          </cell>
          <cell r="L260" t="str">
            <v>BDO</v>
          </cell>
        </row>
        <row r="261">
          <cell r="F261">
            <v>9085201</v>
          </cell>
          <cell r="G261" t="str">
            <v>Individual</v>
          </cell>
          <cell r="H261" t="str">
            <v>-</v>
          </cell>
          <cell r="I261" t="str">
            <v>St Buryan Primary School</v>
          </cell>
          <cell r="J261" t="str">
            <v>Western</v>
          </cell>
          <cell r="K261">
            <v>0</v>
          </cell>
          <cell r="L261" t="str">
            <v>BDO</v>
          </cell>
        </row>
        <row r="262">
          <cell r="F262">
            <v>9256909</v>
          </cell>
          <cell r="G262">
            <v>0</v>
          </cell>
          <cell r="H262" t="str">
            <v>-</v>
          </cell>
          <cell r="I262" t="str">
            <v>St George's Academy</v>
          </cell>
          <cell r="J262" t="str">
            <v>Eastern</v>
          </cell>
          <cell r="K262">
            <v>0</v>
          </cell>
          <cell r="L262" t="str">
            <v>BDO</v>
          </cell>
        </row>
        <row r="263">
          <cell r="F263">
            <v>8615901</v>
          </cell>
          <cell r="G263" t="str">
            <v>Individual</v>
          </cell>
          <cell r="H263" t="str">
            <v>-</v>
          </cell>
          <cell r="I263" t="str">
            <v>St Joseph's College Edmund Rice Trust Academy</v>
          </cell>
          <cell r="J263" t="str">
            <v>Western</v>
          </cell>
          <cell r="K263">
            <v>0</v>
          </cell>
          <cell r="L263" t="str">
            <v>BDO</v>
          </cell>
        </row>
        <row r="264">
          <cell r="F264">
            <v>2022000</v>
          </cell>
          <cell r="G264" t="str">
            <v>Individual</v>
          </cell>
          <cell r="H264" t="str">
            <v>-</v>
          </cell>
          <cell r="I264" t="str">
            <v>St Luke’s Church of England School</v>
          </cell>
          <cell r="J264" t="str">
            <v>Southern</v>
          </cell>
          <cell r="K264">
            <v>0</v>
          </cell>
          <cell r="L264" t="str">
            <v>BDO</v>
          </cell>
        </row>
        <row r="265">
          <cell r="F265">
            <v>3156906</v>
          </cell>
          <cell r="G265" t="str">
            <v>Individual</v>
          </cell>
          <cell r="H265" t="str">
            <v>-</v>
          </cell>
          <cell r="I265" t="str">
            <v>St Mark's Church of England Academy</v>
          </cell>
          <cell r="J265" t="str">
            <v>Southern</v>
          </cell>
          <cell r="K265">
            <v>0</v>
          </cell>
          <cell r="L265" t="str">
            <v>BDO</v>
          </cell>
        </row>
        <row r="266">
          <cell r="F266">
            <v>2066905</v>
          </cell>
          <cell r="G266" t="str">
            <v>Individual</v>
          </cell>
          <cell r="H266" t="str">
            <v>-</v>
          </cell>
          <cell r="I266" t="str">
            <v>St Mary Magdalene Academy</v>
          </cell>
          <cell r="J266" t="str">
            <v>Southern</v>
          </cell>
          <cell r="K266">
            <v>0</v>
          </cell>
          <cell r="L266" t="str">
            <v>BDO</v>
          </cell>
        </row>
        <row r="267">
          <cell r="F267">
            <v>2096907</v>
          </cell>
          <cell r="G267" t="str">
            <v>Individual</v>
          </cell>
          <cell r="H267" t="str">
            <v>-</v>
          </cell>
          <cell r="I267" t="str">
            <v>St Matthew Academy</v>
          </cell>
          <cell r="J267" t="str">
            <v>Southern</v>
          </cell>
          <cell r="K267">
            <v>0</v>
          </cell>
          <cell r="L267" t="str">
            <v>BDO</v>
          </cell>
        </row>
        <row r="268">
          <cell r="F268">
            <v>2106910</v>
          </cell>
          <cell r="G268" t="str">
            <v>Individual</v>
          </cell>
          <cell r="H268" t="str">
            <v>-</v>
          </cell>
          <cell r="I268" t="str">
            <v>St Michael and All Angels CofE</v>
          </cell>
          <cell r="J268" t="str">
            <v>Southern</v>
          </cell>
          <cell r="K268">
            <v>0</v>
          </cell>
          <cell r="L268" t="str">
            <v>BDO</v>
          </cell>
        </row>
        <row r="269">
          <cell r="F269">
            <v>3343313</v>
          </cell>
          <cell r="G269" t="str">
            <v>Individual</v>
          </cell>
          <cell r="H269" t="str">
            <v>-</v>
          </cell>
          <cell r="I269" t="str">
            <v>St Patrick's CofE Junior and Infant School</v>
          </cell>
          <cell r="J269" t="str">
            <v>Western</v>
          </cell>
          <cell r="K269">
            <v>0</v>
          </cell>
          <cell r="L269" t="str">
            <v>BDO</v>
          </cell>
        </row>
        <row r="270">
          <cell r="F270">
            <v>2036905</v>
          </cell>
          <cell r="G270" t="str">
            <v>Individual</v>
          </cell>
          <cell r="H270" t="str">
            <v>-</v>
          </cell>
          <cell r="I270" t="str">
            <v>St Paul's Academy</v>
          </cell>
          <cell r="J270" t="str">
            <v>Southern</v>
          </cell>
          <cell r="K270">
            <v>0</v>
          </cell>
          <cell r="L270" t="str">
            <v>BDO</v>
          </cell>
        </row>
        <row r="271">
          <cell r="F271">
            <v>8862608</v>
          </cell>
          <cell r="G271" t="str">
            <v>Individual</v>
          </cell>
          <cell r="H271" t="str">
            <v>-</v>
          </cell>
          <cell r="I271" t="str">
            <v>St Stephen's Junior School</v>
          </cell>
          <cell r="J271" t="str">
            <v>Southern</v>
          </cell>
          <cell r="K271">
            <v>0</v>
          </cell>
          <cell r="L271" t="str">
            <v>BDO</v>
          </cell>
        </row>
        <row r="272">
          <cell r="F272">
            <v>3126905</v>
          </cell>
          <cell r="G272" t="str">
            <v>Individual</v>
          </cell>
          <cell r="H272" t="str">
            <v>-</v>
          </cell>
          <cell r="I272" t="str">
            <v>Stockley Academy</v>
          </cell>
          <cell r="J272" t="str">
            <v>Southern</v>
          </cell>
          <cell r="K272">
            <v>0</v>
          </cell>
          <cell r="L272" t="str">
            <v>BDO</v>
          </cell>
        </row>
        <row r="273">
          <cell r="F273">
            <v>2084322</v>
          </cell>
          <cell r="G273" t="str">
            <v>Individual</v>
          </cell>
          <cell r="H273" t="str">
            <v>-</v>
          </cell>
          <cell r="I273" t="str">
            <v>Stockwell Park High School</v>
          </cell>
          <cell r="J273" t="str">
            <v>Southern</v>
          </cell>
          <cell r="K273">
            <v>0</v>
          </cell>
          <cell r="L273" t="str">
            <v>BDO</v>
          </cell>
        </row>
        <row r="274">
          <cell r="F274">
            <v>9354001</v>
          </cell>
          <cell r="G274">
            <v>0</v>
          </cell>
          <cell r="H274" t="str">
            <v>-</v>
          </cell>
          <cell r="I274" t="str">
            <v>Stour Valley Community School</v>
          </cell>
          <cell r="J274" t="str">
            <v>Eastern</v>
          </cell>
          <cell r="K274">
            <v>0</v>
          </cell>
          <cell r="L274" t="str">
            <v>BDO</v>
          </cell>
        </row>
        <row r="275">
          <cell r="F275">
            <v>8876905</v>
          </cell>
          <cell r="G275" t="str">
            <v>Individual</v>
          </cell>
          <cell r="H275" t="str">
            <v>-</v>
          </cell>
          <cell r="I275" t="str">
            <v>Strood Academy</v>
          </cell>
          <cell r="J275" t="str">
            <v>Southern</v>
          </cell>
          <cell r="K275">
            <v>0</v>
          </cell>
          <cell r="L275" t="str">
            <v>BDO</v>
          </cell>
        </row>
        <row r="276">
          <cell r="F276">
            <v>9364459</v>
          </cell>
          <cell r="G276" t="str">
            <v>Individual</v>
          </cell>
          <cell r="H276" t="str">
            <v>-</v>
          </cell>
          <cell r="I276" t="str">
            <v>Sunbury Manor School</v>
          </cell>
          <cell r="J276" t="str">
            <v>Southern</v>
          </cell>
          <cell r="K276">
            <v>0</v>
          </cell>
          <cell r="L276" t="str">
            <v>BDO</v>
          </cell>
        </row>
        <row r="277">
          <cell r="F277">
            <v>8404215</v>
          </cell>
          <cell r="G277" t="str">
            <v xml:space="preserve">Individual </v>
          </cell>
          <cell r="H277" t="str">
            <v>-</v>
          </cell>
          <cell r="I277" t="str">
            <v>The Academy at Shotton Hall</v>
          </cell>
          <cell r="J277" t="str">
            <v>Northern</v>
          </cell>
          <cell r="K277">
            <v>0</v>
          </cell>
          <cell r="L277" t="str">
            <v>BDO</v>
          </cell>
        </row>
        <row r="278">
          <cell r="F278">
            <v>3416905</v>
          </cell>
          <cell r="G278" t="str">
            <v xml:space="preserve">Individual </v>
          </cell>
          <cell r="H278" t="str">
            <v>-</v>
          </cell>
          <cell r="I278" t="str">
            <v>The Academy of St Francis of Assisi</v>
          </cell>
          <cell r="J278" t="str">
            <v>Northern</v>
          </cell>
          <cell r="K278">
            <v>0</v>
          </cell>
          <cell r="L278" t="str">
            <v>BDO</v>
          </cell>
        </row>
        <row r="279">
          <cell r="F279">
            <v>8256905</v>
          </cell>
          <cell r="G279" t="str">
            <v>Individual</v>
          </cell>
          <cell r="H279" t="str">
            <v>-</v>
          </cell>
          <cell r="I279" t="str">
            <v>The Aylesbury Vale Academy</v>
          </cell>
          <cell r="J279" t="str">
            <v>Southern</v>
          </cell>
          <cell r="K279">
            <v>0</v>
          </cell>
          <cell r="L279" t="str">
            <v>BDO</v>
          </cell>
        </row>
        <row r="280">
          <cell r="F280">
            <v>8226905</v>
          </cell>
          <cell r="G280">
            <v>0</v>
          </cell>
          <cell r="H280" t="str">
            <v>-</v>
          </cell>
          <cell r="I280" t="str">
            <v>The Bedford Academy</v>
          </cell>
          <cell r="J280" t="str">
            <v>Eastern</v>
          </cell>
          <cell r="K280">
            <v>0</v>
          </cell>
          <cell r="L280" t="str">
            <v>BDO</v>
          </cell>
        </row>
        <row r="281">
          <cell r="F281">
            <v>8376905</v>
          </cell>
          <cell r="G281" t="str">
            <v>Individual</v>
          </cell>
          <cell r="H281" t="str">
            <v>-</v>
          </cell>
          <cell r="I281" t="str">
            <v>The Bishop of Winchester Academy</v>
          </cell>
          <cell r="J281" t="str">
            <v>Western</v>
          </cell>
          <cell r="K281">
            <v>0</v>
          </cell>
          <cell r="L281" t="str">
            <v>BDO</v>
          </cell>
        </row>
        <row r="282">
          <cell r="F282">
            <v>8376906</v>
          </cell>
          <cell r="G282" t="str">
            <v>Individual</v>
          </cell>
          <cell r="H282" t="str">
            <v>-</v>
          </cell>
          <cell r="I282" t="str">
            <v>The Bourne Academy</v>
          </cell>
          <cell r="J282" t="str">
            <v>Western</v>
          </cell>
          <cell r="K282">
            <v>0</v>
          </cell>
          <cell r="L282" t="str">
            <v>BDO</v>
          </cell>
        </row>
        <row r="283">
          <cell r="F283">
            <v>2046907</v>
          </cell>
          <cell r="G283" t="str">
            <v>Individual</v>
          </cell>
          <cell r="H283" t="str">
            <v>-</v>
          </cell>
          <cell r="I283" t="str">
            <v>The Bridge Academy</v>
          </cell>
          <cell r="J283" t="str">
            <v>Southern</v>
          </cell>
          <cell r="K283">
            <v>0</v>
          </cell>
          <cell r="L283" t="str">
            <v>BDO</v>
          </cell>
        </row>
        <row r="284">
          <cell r="F284">
            <v>3066900</v>
          </cell>
          <cell r="G284" t="str">
            <v>Individual</v>
          </cell>
          <cell r="H284" t="str">
            <v>-</v>
          </cell>
          <cell r="I284" t="str">
            <v>The BRIT School for the Performing Arts &amp; Technology (CTC)</v>
          </cell>
          <cell r="J284" t="str">
            <v>Southern</v>
          </cell>
          <cell r="K284">
            <v>0</v>
          </cell>
          <cell r="L284" t="str">
            <v>BDO</v>
          </cell>
        </row>
        <row r="285">
          <cell r="F285">
            <v>9194101</v>
          </cell>
          <cell r="G285">
            <v>0</v>
          </cell>
          <cell r="H285" t="str">
            <v>-</v>
          </cell>
          <cell r="I285" t="str">
            <v>The Broxbourne School</v>
          </cell>
          <cell r="J285" t="str">
            <v>Eastern</v>
          </cell>
          <cell r="K285">
            <v>0</v>
          </cell>
          <cell r="L285" t="str">
            <v>BDO</v>
          </cell>
        </row>
        <row r="286">
          <cell r="F286">
            <v>8926919</v>
          </cell>
          <cell r="G286">
            <v>0</v>
          </cell>
          <cell r="H286" t="str">
            <v>-</v>
          </cell>
          <cell r="I286" t="str">
            <v>The Bulwell Academy</v>
          </cell>
          <cell r="J286" t="str">
            <v>Eastern</v>
          </cell>
          <cell r="K286">
            <v>0</v>
          </cell>
          <cell r="L286" t="str">
            <v>BDO</v>
          </cell>
        </row>
        <row r="287">
          <cell r="F287">
            <v>9196906</v>
          </cell>
          <cell r="G287">
            <v>0</v>
          </cell>
          <cell r="H287" t="str">
            <v>-</v>
          </cell>
          <cell r="I287" t="str">
            <v>The Bushey Academy</v>
          </cell>
          <cell r="J287" t="str">
            <v>Eastern</v>
          </cell>
          <cell r="K287">
            <v>0</v>
          </cell>
          <cell r="L287" t="str">
            <v>BDO</v>
          </cell>
        </row>
        <row r="288">
          <cell r="F288">
            <v>3036905</v>
          </cell>
          <cell r="G288" t="str">
            <v>Individual</v>
          </cell>
          <cell r="H288" t="str">
            <v>-</v>
          </cell>
          <cell r="I288" t="str">
            <v>The Business Academy Bexley</v>
          </cell>
          <cell r="J288" t="str">
            <v>Southern</v>
          </cell>
          <cell r="K288">
            <v>0</v>
          </cell>
          <cell r="L288" t="str">
            <v>BDO</v>
          </cell>
        </row>
        <row r="289">
          <cell r="F289">
            <v>3175400</v>
          </cell>
          <cell r="G289" t="str">
            <v>Individual</v>
          </cell>
          <cell r="H289" t="str">
            <v>-</v>
          </cell>
          <cell r="I289" t="str">
            <v>The Chadwell Heath Academy</v>
          </cell>
          <cell r="J289" t="str">
            <v>Southern</v>
          </cell>
          <cell r="K289">
            <v>0</v>
          </cell>
          <cell r="L289" t="str">
            <v>BDO</v>
          </cell>
        </row>
        <row r="290">
          <cell r="F290">
            <v>2104318</v>
          </cell>
          <cell r="G290" t="str">
            <v>Individual</v>
          </cell>
          <cell r="H290" t="str">
            <v>-</v>
          </cell>
          <cell r="I290" t="str">
            <v>The Charter School</v>
          </cell>
          <cell r="J290" t="str">
            <v>Southern</v>
          </cell>
          <cell r="K290">
            <v>0</v>
          </cell>
          <cell r="L290" t="str">
            <v>BDO</v>
          </cell>
        </row>
        <row r="291">
          <cell r="F291">
            <v>8016905</v>
          </cell>
          <cell r="G291" t="str">
            <v>Individual</v>
          </cell>
          <cell r="H291" t="str">
            <v>-</v>
          </cell>
          <cell r="I291" t="str">
            <v>The City Academy Bristol</v>
          </cell>
          <cell r="J291" t="str">
            <v>Western</v>
          </cell>
          <cell r="K291">
            <v>0</v>
          </cell>
          <cell r="L291" t="str">
            <v>BDO</v>
          </cell>
        </row>
        <row r="292">
          <cell r="F292">
            <v>2046908</v>
          </cell>
          <cell r="G292" t="str">
            <v>Individual</v>
          </cell>
          <cell r="H292" t="str">
            <v>-</v>
          </cell>
          <cell r="I292" t="str">
            <v>The City Academy, Hackney</v>
          </cell>
          <cell r="J292" t="str">
            <v>Southern</v>
          </cell>
          <cell r="K292">
            <v>0</v>
          </cell>
          <cell r="L292" t="str">
            <v>BDO</v>
          </cell>
        </row>
        <row r="293">
          <cell r="F293">
            <v>2106905</v>
          </cell>
          <cell r="G293" t="str">
            <v>Individual</v>
          </cell>
          <cell r="H293" t="str">
            <v>-</v>
          </cell>
          <cell r="I293" t="str">
            <v>The City of London Academy, Southwark</v>
          </cell>
          <cell r="J293" t="str">
            <v>Southern</v>
          </cell>
          <cell r="K293">
            <v>0</v>
          </cell>
          <cell r="L293" t="str">
            <v>BDO</v>
          </cell>
        </row>
        <row r="294">
          <cell r="F294">
            <v>3024215</v>
          </cell>
          <cell r="G294" t="str">
            <v>Individual</v>
          </cell>
          <cell r="H294" t="str">
            <v>-</v>
          </cell>
          <cell r="I294" t="str">
            <v>The Compton School</v>
          </cell>
          <cell r="J294" t="str">
            <v>Southern</v>
          </cell>
          <cell r="K294">
            <v>0</v>
          </cell>
          <cell r="L294" t="str">
            <v>BDO</v>
          </cell>
        </row>
        <row r="295">
          <cell r="F295">
            <v>8616905</v>
          </cell>
          <cell r="G295" t="str">
            <v>Individual</v>
          </cell>
          <cell r="H295" t="str">
            <v>-</v>
          </cell>
          <cell r="I295" t="str">
            <v>The Co-operative Academy of Brownhills</v>
          </cell>
          <cell r="J295" t="str">
            <v>Western</v>
          </cell>
          <cell r="K295">
            <v>0</v>
          </cell>
          <cell r="L295" t="str">
            <v>BDO</v>
          </cell>
        </row>
        <row r="296">
          <cell r="F296">
            <v>3526914</v>
          </cell>
          <cell r="G296" t="str">
            <v xml:space="preserve">Individual </v>
          </cell>
          <cell r="H296" t="str">
            <v>-</v>
          </cell>
          <cell r="I296" t="str">
            <v>The Co-operative Academy of Manchester</v>
          </cell>
          <cell r="J296" t="str">
            <v>Northern</v>
          </cell>
          <cell r="K296">
            <v>0</v>
          </cell>
          <cell r="L296" t="str">
            <v>BDO</v>
          </cell>
        </row>
        <row r="297">
          <cell r="F297">
            <v>9286906</v>
          </cell>
          <cell r="G297">
            <v>0</v>
          </cell>
          <cell r="H297" t="str">
            <v>-</v>
          </cell>
          <cell r="I297" t="str">
            <v>The Corby Business Academy</v>
          </cell>
          <cell r="J297" t="str">
            <v>Eastern</v>
          </cell>
          <cell r="K297">
            <v>0</v>
          </cell>
          <cell r="L297" t="str">
            <v>BDO</v>
          </cell>
        </row>
        <row r="298">
          <cell r="F298">
            <v>9165410</v>
          </cell>
          <cell r="G298" t="str">
            <v>Individual</v>
          </cell>
          <cell r="H298" t="str">
            <v>-</v>
          </cell>
          <cell r="I298" t="str">
            <v>The Cotswold School</v>
          </cell>
          <cell r="J298" t="str">
            <v>Western</v>
          </cell>
          <cell r="K298">
            <v>0</v>
          </cell>
          <cell r="L298" t="str">
            <v>BDO</v>
          </cell>
        </row>
        <row r="299">
          <cell r="F299">
            <v>9165404</v>
          </cell>
          <cell r="G299" t="str">
            <v>Individual</v>
          </cell>
          <cell r="H299" t="str">
            <v>-</v>
          </cell>
          <cell r="I299" t="str">
            <v>The Crypt School</v>
          </cell>
          <cell r="J299" t="str">
            <v>Western</v>
          </cell>
          <cell r="K299">
            <v>0</v>
          </cell>
          <cell r="L299" t="str">
            <v>BDO</v>
          </cell>
        </row>
        <row r="300">
          <cell r="F300">
            <v>8604176</v>
          </cell>
          <cell r="G300" t="str">
            <v>Individual</v>
          </cell>
          <cell r="H300" t="str">
            <v>-</v>
          </cell>
          <cell r="I300" t="str">
            <v>The de Ferrers Academy</v>
          </cell>
          <cell r="J300" t="str">
            <v>Western</v>
          </cell>
          <cell r="K300">
            <v>0</v>
          </cell>
          <cell r="L300" t="str">
            <v>BDO</v>
          </cell>
        </row>
        <row r="301">
          <cell r="F301">
            <v>3414797</v>
          </cell>
          <cell r="G301" t="str">
            <v xml:space="preserve">Individual </v>
          </cell>
          <cell r="H301" t="str">
            <v>-</v>
          </cell>
          <cell r="I301" t="str">
            <v>The De La Salle Academy</v>
          </cell>
          <cell r="J301" t="str">
            <v>Northern</v>
          </cell>
          <cell r="K301">
            <v>0</v>
          </cell>
          <cell r="L301" t="str">
            <v>BDO</v>
          </cell>
        </row>
        <row r="302">
          <cell r="F302">
            <v>3526912</v>
          </cell>
          <cell r="G302" t="str">
            <v xml:space="preserve">Individual </v>
          </cell>
          <cell r="H302" t="str">
            <v>-</v>
          </cell>
          <cell r="I302" t="str">
            <v>The East Manchester Academy</v>
          </cell>
          <cell r="J302" t="str">
            <v>Northern</v>
          </cell>
          <cell r="K302">
            <v>0</v>
          </cell>
          <cell r="L302" t="str">
            <v>BDO</v>
          </cell>
        </row>
        <row r="303">
          <cell r="F303">
            <v>8305401</v>
          </cell>
          <cell r="G303">
            <v>0</v>
          </cell>
          <cell r="H303" t="str">
            <v>-</v>
          </cell>
          <cell r="I303" t="str">
            <v>The Ecclesbourne School</v>
          </cell>
          <cell r="J303" t="str">
            <v>Eastern</v>
          </cell>
          <cell r="K303">
            <v>0</v>
          </cell>
          <cell r="L303" t="str">
            <v>BDO</v>
          </cell>
        </row>
        <row r="304">
          <cell r="F304">
            <v>8866908</v>
          </cell>
          <cell r="G304" t="str">
            <v>Individual</v>
          </cell>
          <cell r="H304" t="str">
            <v>-</v>
          </cell>
          <cell r="I304" t="str">
            <v>The Folkestone Academy</v>
          </cell>
          <cell r="J304" t="str">
            <v>Southern</v>
          </cell>
          <cell r="K304">
            <v>0</v>
          </cell>
          <cell r="L304" t="str">
            <v>BDO</v>
          </cell>
        </row>
        <row r="305">
          <cell r="F305">
            <v>9255423</v>
          </cell>
          <cell r="G305">
            <v>0</v>
          </cell>
          <cell r="H305" t="str">
            <v>-</v>
          </cell>
          <cell r="I305" t="str">
            <v>The Giles School</v>
          </cell>
          <cell r="J305" t="str">
            <v>Eastern</v>
          </cell>
          <cell r="K305">
            <v>0</v>
          </cell>
          <cell r="L305" t="str">
            <v>BDO</v>
          </cell>
        </row>
        <row r="306">
          <cell r="F306">
            <v>3812049</v>
          </cell>
          <cell r="G306" t="str">
            <v xml:space="preserve">Individual </v>
          </cell>
          <cell r="H306" t="str">
            <v>-</v>
          </cell>
          <cell r="I306" t="str">
            <v>The Greetland Academy</v>
          </cell>
          <cell r="J306" t="str">
            <v>Northern</v>
          </cell>
          <cell r="K306">
            <v>0</v>
          </cell>
          <cell r="L306" t="str">
            <v>BDO</v>
          </cell>
        </row>
        <row r="307">
          <cell r="F307">
            <v>8865455</v>
          </cell>
          <cell r="G307" t="str">
            <v>Individual</v>
          </cell>
          <cell r="H307" t="str">
            <v>-</v>
          </cell>
          <cell r="I307" t="str">
            <v>The Hayesbrook School</v>
          </cell>
          <cell r="J307" t="str">
            <v>Southern</v>
          </cell>
          <cell r="K307">
            <v>0</v>
          </cell>
          <cell r="L307" t="str">
            <v>BDO</v>
          </cell>
        </row>
        <row r="308">
          <cell r="F308">
            <v>8846905</v>
          </cell>
          <cell r="G308" t="str">
            <v>Individual</v>
          </cell>
          <cell r="H308" t="str">
            <v>-</v>
          </cell>
          <cell r="I308" t="str">
            <v>The Hereford Academy</v>
          </cell>
          <cell r="J308" t="str">
            <v>Western</v>
          </cell>
          <cell r="K308">
            <v>0</v>
          </cell>
          <cell r="L308" t="str">
            <v>BDO</v>
          </cell>
        </row>
        <row r="309">
          <cell r="F309">
            <v>8866915</v>
          </cell>
          <cell r="G309" t="str">
            <v>Individual</v>
          </cell>
          <cell r="H309" t="str">
            <v>-</v>
          </cell>
          <cell r="I309" t="str">
            <v>The Isle of Sheppey Academy</v>
          </cell>
          <cell r="J309" t="str">
            <v>Southern</v>
          </cell>
          <cell r="K309">
            <v>0</v>
          </cell>
          <cell r="L309" t="str">
            <v>BDO</v>
          </cell>
        </row>
        <row r="310">
          <cell r="F310">
            <v>8866919</v>
          </cell>
          <cell r="G310" t="str">
            <v>Individual</v>
          </cell>
          <cell r="H310" t="str">
            <v>-</v>
          </cell>
          <cell r="I310" t="str">
            <v>The John Wallis Church of England Academy</v>
          </cell>
          <cell r="J310" t="str">
            <v>Southern</v>
          </cell>
          <cell r="K310">
            <v>0</v>
          </cell>
          <cell r="L310" t="str">
            <v>BDO</v>
          </cell>
        </row>
        <row r="311">
          <cell r="F311">
            <v>8745404</v>
          </cell>
          <cell r="G311">
            <v>0</v>
          </cell>
          <cell r="H311" t="str">
            <v>-</v>
          </cell>
          <cell r="I311" t="str">
            <v>The King's School Peterborough</v>
          </cell>
          <cell r="J311" t="str">
            <v>Eastern</v>
          </cell>
          <cell r="K311">
            <v>0</v>
          </cell>
          <cell r="L311" t="str">
            <v>BDO</v>
          </cell>
        </row>
        <row r="312">
          <cell r="F312">
            <v>8304052</v>
          </cell>
          <cell r="G312">
            <v>0</v>
          </cell>
          <cell r="H312" t="str">
            <v>-</v>
          </cell>
          <cell r="I312" t="str">
            <v>The Long Eaton School</v>
          </cell>
          <cell r="J312" t="str">
            <v>Eastern</v>
          </cell>
          <cell r="K312">
            <v>0</v>
          </cell>
          <cell r="L312" t="str">
            <v>BDO</v>
          </cell>
        </row>
        <row r="313">
          <cell r="F313">
            <v>8266905</v>
          </cell>
          <cell r="G313" t="str">
            <v>Individual</v>
          </cell>
          <cell r="H313" t="str">
            <v>-</v>
          </cell>
          <cell r="I313" t="str">
            <v>The Milton Keynes Academy</v>
          </cell>
          <cell r="J313" t="str">
            <v>Southern</v>
          </cell>
          <cell r="K313">
            <v>0</v>
          </cell>
          <cell r="L313" t="str">
            <v>BDO</v>
          </cell>
        </row>
        <row r="314">
          <cell r="F314">
            <v>3824040</v>
          </cell>
          <cell r="G314" t="str">
            <v xml:space="preserve">Individual </v>
          </cell>
          <cell r="H314" t="str">
            <v>-</v>
          </cell>
          <cell r="I314" t="str">
            <v>The Mirfield Free Grammar and Sixth Form</v>
          </cell>
          <cell r="J314" t="str">
            <v>Northern</v>
          </cell>
          <cell r="K314">
            <v>0</v>
          </cell>
          <cell r="L314" t="str">
            <v>BDO</v>
          </cell>
        </row>
        <row r="315">
          <cell r="F315">
            <v>8834299</v>
          </cell>
          <cell r="G315">
            <v>0</v>
          </cell>
          <cell r="H315" t="str">
            <v>-</v>
          </cell>
          <cell r="I315" t="str">
            <v>The Ockendon School</v>
          </cell>
          <cell r="J315" t="str">
            <v>Eastern</v>
          </cell>
          <cell r="K315">
            <v>0</v>
          </cell>
          <cell r="L315" t="str">
            <v>BDO</v>
          </cell>
        </row>
        <row r="316">
          <cell r="F316">
            <v>9316906</v>
          </cell>
          <cell r="G316" t="str">
            <v>Individual</v>
          </cell>
          <cell r="H316" t="str">
            <v>-</v>
          </cell>
          <cell r="I316" t="str">
            <v>The Oxford Academy</v>
          </cell>
          <cell r="J316" t="str">
            <v>Southern</v>
          </cell>
          <cell r="K316">
            <v>0</v>
          </cell>
          <cell r="L316" t="str">
            <v>BDO</v>
          </cell>
        </row>
        <row r="317">
          <cell r="F317">
            <v>2046906</v>
          </cell>
          <cell r="G317" t="str">
            <v>Individual</v>
          </cell>
          <cell r="H317" t="str">
            <v>-</v>
          </cell>
          <cell r="I317" t="str">
            <v>The Petchey Academy</v>
          </cell>
          <cell r="J317" t="str">
            <v>Southern</v>
          </cell>
          <cell r="K317">
            <v>0</v>
          </cell>
          <cell r="L317" t="str">
            <v>BDO</v>
          </cell>
        </row>
        <row r="318">
          <cell r="F318">
            <v>9374112</v>
          </cell>
          <cell r="G318" t="str">
            <v>Individual</v>
          </cell>
          <cell r="H318" t="str">
            <v>-</v>
          </cell>
          <cell r="I318" t="str">
            <v>The Polesworth School - A Specialist Language College</v>
          </cell>
          <cell r="J318" t="str">
            <v>Western</v>
          </cell>
          <cell r="K318">
            <v>0</v>
          </cell>
          <cell r="L318" t="str">
            <v>BDO</v>
          </cell>
        </row>
        <row r="319">
          <cell r="F319">
            <v>8262133</v>
          </cell>
          <cell r="G319" t="str">
            <v>Individual</v>
          </cell>
          <cell r="H319" t="str">
            <v>-</v>
          </cell>
          <cell r="I319" t="str">
            <v>The Premier Academy</v>
          </cell>
          <cell r="J319" t="str">
            <v>Southern</v>
          </cell>
          <cell r="K319">
            <v>0</v>
          </cell>
          <cell r="L319" t="str">
            <v>BDO</v>
          </cell>
        </row>
        <row r="320">
          <cell r="F320">
            <v>8505201</v>
          </cell>
          <cell r="G320" t="str">
            <v>Individual</v>
          </cell>
          <cell r="H320" t="str">
            <v>-</v>
          </cell>
          <cell r="I320" t="str">
            <v>The Priory Primary School</v>
          </cell>
          <cell r="J320" t="str">
            <v>Southern</v>
          </cell>
          <cell r="K320">
            <v>0</v>
          </cell>
          <cell r="L320" t="str">
            <v>BDO</v>
          </cell>
        </row>
        <row r="321">
          <cell r="F321">
            <v>9095404</v>
          </cell>
          <cell r="G321" t="str">
            <v xml:space="preserve">Individual </v>
          </cell>
          <cell r="H321" t="str">
            <v>-</v>
          </cell>
          <cell r="I321" t="str">
            <v>The Queen Katherine School</v>
          </cell>
          <cell r="J321" t="str">
            <v>Northern</v>
          </cell>
          <cell r="K321">
            <v>0</v>
          </cell>
          <cell r="L321" t="str">
            <v>BDO</v>
          </cell>
        </row>
        <row r="322">
          <cell r="F322">
            <v>3066910</v>
          </cell>
          <cell r="G322" t="str">
            <v>Individual</v>
          </cell>
          <cell r="H322" t="str">
            <v>-</v>
          </cell>
          <cell r="I322" t="str">
            <v>The Quest Academy</v>
          </cell>
          <cell r="J322" t="str">
            <v>Southern</v>
          </cell>
          <cell r="K322">
            <v>0</v>
          </cell>
          <cell r="L322" t="str">
            <v>BDO</v>
          </cell>
        </row>
        <row r="323">
          <cell r="F323">
            <v>8815263</v>
          </cell>
          <cell r="G323">
            <v>0</v>
          </cell>
          <cell r="H323" t="str">
            <v>-</v>
          </cell>
          <cell r="I323" t="str">
            <v>The RA Butler Infant School</v>
          </cell>
          <cell r="J323" t="str">
            <v>Eastern</v>
          </cell>
          <cell r="K323">
            <v>0</v>
          </cell>
          <cell r="L323" t="str">
            <v>BDO</v>
          </cell>
        </row>
        <row r="324">
          <cell r="F324">
            <v>8815264</v>
          </cell>
          <cell r="G324">
            <v>0</v>
          </cell>
          <cell r="H324" t="str">
            <v>-</v>
          </cell>
          <cell r="I324" t="str">
            <v>The RA Butler Junior School</v>
          </cell>
          <cell r="J324" t="str">
            <v>Eastern</v>
          </cell>
          <cell r="K324">
            <v>0</v>
          </cell>
          <cell r="L324" t="str">
            <v>BDO</v>
          </cell>
        </row>
        <row r="325">
          <cell r="F325">
            <v>8875445</v>
          </cell>
          <cell r="G325" t="str">
            <v>Individual</v>
          </cell>
          <cell r="H325" t="str">
            <v>-</v>
          </cell>
          <cell r="I325" t="str">
            <v>The Rochester Grammar School</v>
          </cell>
          <cell r="J325" t="str">
            <v>Southern</v>
          </cell>
          <cell r="K325">
            <v>0</v>
          </cell>
          <cell r="L325" t="str">
            <v>BDO</v>
          </cell>
        </row>
        <row r="326">
          <cell r="F326">
            <v>8255404</v>
          </cell>
          <cell r="G326" t="str">
            <v>Individual</v>
          </cell>
          <cell r="H326" t="str">
            <v>-</v>
          </cell>
          <cell r="I326" t="str">
            <v>The Royal Grammar School, High Wycombe</v>
          </cell>
          <cell r="J326" t="str">
            <v>Southern</v>
          </cell>
          <cell r="K326">
            <v>0</v>
          </cell>
          <cell r="L326" t="str">
            <v>BDO</v>
          </cell>
        </row>
        <row r="327">
          <cell r="F327">
            <v>3336909</v>
          </cell>
          <cell r="G327" t="str">
            <v>Individual</v>
          </cell>
          <cell r="H327" t="str">
            <v>-</v>
          </cell>
          <cell r="I327" t="str">
            <v>The RSA Academy, Tipton</v>
          </cell>
          <cell r="J327" t="str">
            <v>Western</v>
          </cell>
          <cell r="K327">
            <v>0</v>
          </cell>
          <cell r="L327" t="str">
            <v>BDO</v>
          </cell>
        </row>
        <row r="328">
          <cell r="F328">
            <v>8136905</v>
          </cell>
          <cell r="G328" t="str">
            <v xml:space="preserve">Individual </v>
          </cell>
          <cell r="H328" t="str">
            <v>-</v>
          </cell>
          <cell r="I328" t="str">
            <v>The St Lawrence Academy</v>
          </cell>
          <cell r="J328" t="str">
            <v>Northern</v>
          </cell>
          <cell r="K328">
            <v>0</v>
          </cell>
          <cell r="L328" t="str">
            <v>BDO</v>
          </cell>
        </row>
        <row r="329">
          <cell r="F329">
            <v>8846906</v>
          </cell>
          <cell r="G329" t="str">
            <v>Individual</v>
          </cell>
          <cell r="H329" t="str">
            <v>-</v>
          </cell>
          <cell r="I329" t="str">
            <v>The Steiner Academy Hereford</v>
          </cell>
          <cell r="J329" t="str">
            <v>Western</v>
          </cell>
          <cell r="K329">
            <v>0</v>
          </cell>
          <cell r="L329" t="str">
            <v>BDO</v>
          </cell>
        </row>
        <row r="330">
          <cell r="F330">
            <v>3426905</v>
          </cell>
          <cell r="G330" t="str">
            <v xml:space="preserve">Individual </v>
          </cell>
          <cell r="H330" t="str">
            <v>-</v>
          </cell>
          <cell r="I330" t="str">
            <v>The Sutton Academy</v>
          </cell>
          <cell r="J330" t="str">
            <v>Northern</v>
          </cell>
          <cell r="K330">
            <v>0</v>
          </cell>
          <cell r="L330" t="str">
            <v>BDO</v>
          </cell>
        </row>
        <row r="331">
          <cell r="F331">
            <v>9336905</v>
          </cell>
          <cell r="G331" t="str">
            <v>Individual</v>
          </cell>
          <cell r="H331" t="str">
            <v>-</v>
          </cell>
          <cell r="I331" t="str">
            <v>The Taunton Academy</v>
          </cell>
          <cell r="J331" t="str">
            <v>Western</v>
          </cell>
          <cell r="K331">
            <v>0</v>
          </cell>
          <cell r="L331" t="str">
            <v>BDO</v>
          </cell>
        </row>
        <row r="332">
          <cell r="F332">
            <v>9266910</v>
          </cell>
          <cell r="G332">
            <v>0</v>
          </cell>
          <cell r="H332" t="str">
            <v>-</v>
          </cell>
          <cell r="I332" t="str">
            <v>The Thetford Academy</v>
          </cell>
          <cell r="J332" t="str">
            <v>Eastern</v>
          </cell>
          <cell r="K332">
            <v>0</v>
          </cell>
          <cell r="L332" t="str">
            <v>BDO</v>
          </cell>
        </row>
        <row r="333">
          <cell r="F333">
            <v>3144010</v>
          </cell>
          <cell r="G333" t="str">
            <v>Individual</v>
          </cell>
          <cell r="H333" t="str">
            <v>-</v>
          </cell>
          <cell r="I333" t="str">
            <v>The Tiffin Girls' School</v>
          </cell>
          <cell r="J333" t="str">
            <v>Southern</v>
          </cell>
          <cell r="K333">
            <v>0</v>
          </cell>
          <cell r="L333" t="str">
            <v>BDO</v>
          </cell>
        </row>
        <row r="334">
          <cell r="F334">
            <v>8966905</v>
          </cell>
          <cell r="G334" t="str">
            <v xml:space="preserve">Individual </v>
          </cell>
          <cell r="H334" t="str">
            <v>-</v>
          </cell>
          <cell r="I334" t="str">
            <v>The University of Chester Church of England Academy</v>
          </cell>
          <cell r="J334" t="str">
            <v>Northern</v>
          </cell>
          <cell r="K334">
            <v>0</v>
          </cell>
          <cell r="L334" t="str">
            <v>BDO</v>
          </cell>
        </row>
        <row r="335">
          <cell r="F335">
            <v>8656905</v>
          </cell>
          <cell r="G335" t="str">
            <v>Individual</v>
          </cell>
          <cell r="H335" t="str">
            <v>-</v>
          </cell>
          <cell r="I335" t="str">
            <v>The Wellington Academy</v>
          </cell>
          <cell r="J335" t="str">
            <v>Western</v>
          </cell>
          <cell r="K335">
            <v>0</v>
          </cell>
          <cell r="L335" t="str">
            <v>BDO</v>
          </cell>
        </row>
        <row r="336">
          <cell r="F336">
            <v>8914328</v>
          </cell>
          <cell r="G336">
            <v>0</v>
          </cell>
          <cell r="H336" t="str">
            <v>-</v>
          </cell>
          <cell r="I336" t="str">
            <v>The West Bridgford School</v>
          </cell>
          <cell r="J336" t="str">
            <v>Eastern</v>
          </cell>
          <cell r="K336">
            <v>0</v>
          </cell>
          <cell r="L336" t="str">
            <v>BDO</v>
          </cell>
        </row>
        <row r="337">
          <cell r="F337">
            <v>8825206</v>
          </cell>
          <cell r="G337">
            <v>0</v>
          </cell>
          <cell r="H337" t="str">
            <v>-</v>
          </cell>
          <cell r="I337" t="str">
            <v>The Westborough Primary Academy</v>
          </cell>
          <cell r="J337" t="str">
            <v>Eastern</v>
          </cell>
          <cell r="K337">
            <v>0</v>
          </cell>
          <cell r="L337" t="str">
            <v>BDO</v>
          </cell>
        </row>
        <row r="338">
          <cell r="F338">
            <v>8746905</v>
          </cell>
          <cell r="G338">
            <v>0</v>
          </cell>
          <cell r="H338" t="str">
            <v>-</v>
          </cell>
          <cell r="I338" t="str">
            <v>Thomas Deacon Academy</v>
          </cell>
          <cell r="J338" t="str">
            <v>Eastern</v>
          </cell>
          <cell r="K338">
            <v>0</v>
          </cell>
          <cell r="L338" t="str">
            <v>BDO</v>
          </cell>
        </row>
        <row r="339">
          <cell r="F339">
            <v>8946900</v>
          </cell>
          <cell r="G339" t="str">
            <v>Individual</v>
          </cell>
          <cell r="H339" t="str">
            <v>-</v>
          </cell>
          <cell r="I339" t="str">
            <v>Thomas Telford School (CTC)</v>
          </cell>
          <cell r="J339" t="str">
            <v>Western</v>
          </cell>
          <cell r="K339">
            <v>0</v>
          </cell>
          <cell r="L339" t="str">
            <v>BDO</v>
          </cell>
        </row>
        <row r="340">
          <cell r="F340">
            <v>8086905</v>
          </cell>
          <cell r="G340" t="str">
            <v xml:space="preserve">Individual </v>
          </cell>
          <cell r="H340" t="str">
            <v>-</v>
          </cell>
          <cell r="I340" t="str">
            <v>Thornaby Academy</v>
          </cell>
          <cell r="J340" t="str">
            <v>Northern</v>
          </cell>
          <cell r="K340">
            <v>0</v>
          </cell>
          <cell r="L340" t="str">
            <v>BDO</v>
          </cell>
        </row>
        <row r="341">
          <cell r="F341">
            <v>8124078</v>
          </cell>
          <cell r="G341" t="str">
            <v xml:space="preserve">Individual </v>
          </cell>
          <cell r="H341" t="str">
            <v>-</v>
          </cell>
          <cell r="I341" t="str">
            <v>Tollbar Academy</v>
          </cell>
          <cell r="J341" t="str">
            <v>Northern</v>
          </cell>
          <cell r="K341">
            <v>0</v>
          </cell>
          <cell r="L341" t="str">
            <v>BDO</v>
          </cell>
        </row>
        <row r="342">
          <cell r="F342">
            <v>8865443</v>
          </cell>
          <cell r="G342" t="str">
            <v>Individual</v>
          </cell>
          <cell r="H342" t="str">
            <v>-</v>
          </cell>
          <cell r="I342" t="str">
            <v>Tonbridge Grammar School</v>
          </cell>
          <cell r="J342" t="str">
            <v>Southern</v>
          </cell>
          <cell r="K342">
            <v>0</v>
          </cell>
          <cell r="L342" t="str">
            <v>BDO</v>
          </cell>
        </row>
        <row r="343">
          <cell r="F343">
            <v>8805401</v>
          </cell>
          <cell r="G343" t="str">
            <v>Individual</v>
          </cell>
          <cell r="H343" t="str">
            <v>-</v>
          </cell>
          <cell r="I343" t="str">
            <v xml:space="preserve">Torquay Boys' Grammar School   </v>
          </cell>
          <cell r="J343" t="str">
            <v>Western</v>
          </cell>
          <cell r="K343">
            <v>0</v>
          </cell>
          <cell r="L343" t="str">
            <v>BDO</v>
          </cell>
        </row>
        <row r="344">
          <cell r="F344">
            <v>8804114</v>
          </cell>
          <cell r="G344" t="str">
            <v>Individual</v>
          </cell>
          <cell r="H344" t="str">
            <v>-</v>
          </cell>
          <cell r="I344" t="str">
            <v>Torquay Girls' Grammar School</v>
          </cell>
          <cell r="J344" t="str">
            <v>Western</v>
          </cell>
          <cell r="K344">
            <v>0</v>
          </cell>
          <cell r="L344" t="str">
            <v>BDO</v>
          </cell>
        </row>
        <row r="345">
          <cell r="F345">
            <v>9082409</v>
          </cell>
          <cell r="G345" t="str">
            <v>Individual</v>
          </cell>
          <cell r="H345" t="str">
            <v>-</v>
          </cell>
          <cell r="I345" t="str">
            <v xml:space="preserve">Trenance Infant School </v>
          </cell>
          <cell r="J345" t="str">
            <v>Western</v>
          </cell>
          <cell r="K345">
            <v>0</v>
          </cell>
          <cell r="L345" t="str">
            <v>BDO</v>
          </cell>
        </row>
        <row r="346">
          <cell r="F346">
            <v>9082743</v>
          </cell>
          <cell r="G346" t="str">
            <v>Individual</v>
          </cell>
          <cell r="H346" t="str">
            <v>-</v>
          </cell>
          <cell r="I346" t="str">
            <v>Trevithick Learning Academy</v>
          </cell>
          <cell r="J346" t="str">
            <v>Western</v>
          </cell>
          <cell r="K346">
            <v>0</v>
          </cell>
          <cell r="L346" t="str">
            <v>BDO</v>
          </cell>
        </row>
        <row r="347">
          <cell r="F347">
            <v>3716905</v>
          </cell>
          <cell r="G347" t="str">
            <v>Individual</v>
          </cell>
          <cell r="H347" t="str">
            <v>-</v>
          </cell>
          <cell r="I347" t="str">
            <v>Trinity Academy</v>
          </cell>
          <cell r="J347" t="str">
            <v>Southern</v>
          </cell>
          <cell r="K347">
            <v>0</v>
          </cell>
          <cell r="L347" t="str">
            <v>BDO</v>
          </cell>
        </row>
        <row r="348">
          <cell r="F348">
            <v>3816905</v>
          </cell>
          <cell r="G348" t="str">
            <v xml:space="preserve">Individual </v>
          </cell>
          <cell r="H348" t="str">
            <v>-</v>
          </cell>
          <cell r="I348" t="str">
            <v>Trinity Academy Halifax</v>
          </cell>
          <cell r="J348" t="str">
            <v>Northern</v>
          </cell>
          <cell r="K348">
            <v>0</v>
          </cell>
          <cell r="L348" t="str">
            <v>BDO</v>
          </cell>
        </row>
        <row r="349">
          <cell r="F349">
            <v>8856905</v>
          </cell>
          <cell r="G349" t="str">
            <v>Individual</v>
          </cell>
          <cell r="H349" t="str">
            <v>-</v>
          </cell>
          <cell r="I349" t="str">
            <v>Tudor Grange Academy Worcester</v>
          </cell>
          <cell r="J349" t="str">
            <v>Western</v>
          </cell>
          <cell r="K349">
            <v>0</v>
          </cell>
          <cell r="L349" t="str">
            <v>BDO</v>
          </cell>
        </row>
        <row r="350">
          <cell r="F350">
            <v>3344014</v>
          </cell>
          <cell r="G350" t="str">
            <v>Individual</v>
          </cell>
          <cell r="H350" t="str">
            <v>-</v>
          </cell>
          <cell r="I350" t="str">
            <v>Tudor Grange School</v>
          </cell>
          <cell r="J350" t="str">
            <v>Western</v>
          </cell>
          <cell r="K350">
            <v>0</v>
          </cell>
          <cell r="L350" t="str">
            <v>BDO</v>
          </cell>
        </row>
        <row r="351">
          <cell r="F351">
            <v>8785405</v>
          </cell>
          <cell r="G351" t="str">
            <v>Individual</v>
          </cell>
          <cell r="H351" t="str">
            <v>-</v>
          </cell>
          <cell r="I351" t="str">
            <v>Uffculme School</v>
          </cell>
          <cell r="J351" t="str">
            <v>Western</v>
          </cell>
          <cell r="K351">
            <v>0</v>
          </cell>
          <cell r="L351" t="str">
            <v>BDO</v>
          </cell>
        </row>
        <row r="352">
          <cell r="F352">
            <v>8066905</v>
          </cell>
          <cell r="G352" t="str">
            <v xml:space="preserve">Individual </v>
          </cell>
          <cell r="H352" t="str">
            <v>-</v>
          </cell>
          <cell r="I352" t="str">
            <v>Unity City Academy</v>
          </cell>
          <cell r="J352" t="str">
            <v>Northern</v>
          </cell>
          <cell r="K352">
            <v>0</v>
          </cell>
          <cell r="L352" t="str">
            <v>BDO</v>
          </cell>
        </row>
        <row r="353">
          <cell r="F353">
            <v>3806909</v>
          </cell>
          <cell r="G353" t="str">
            <v xml:space="preserve">Individual </v>
          </cell>
          <cell r="H353" t="str">
            <v>-</v>
          </cell>
          <cell r="I353" t="str">
            <v>University Academy Keighley</v>
          </cell>
          <cell r="J353" t="str">
            <v>Northern</v>
          </cell>
          <cell r="K353">
            <v>0</v>
          </cell>
          <cell r="L353" t="str">
            <v>BDO</v>
          </cell>
        </row>
        <row r="354">
          <cell r="F354">
            <v>3444798</v>
          </cell>
          <cell r="G354" t="str">
            <v xml:space="preserve">Individual </v>
          </cell>
          <cell r="H354" t="str">
            <v>-</v>
          </cell>
          <cell r="I354" t="str">
            <v>University Academy of Birkenhead</v>
          </cell>
          <cell r="J354" t="str">
            <v>Northern</v>
          </cell>
          <cell r="K354">
            <v>0</v>
          </cell>
          <cell r="L354" t="str">
            <v>BDO</v>
          </cell>
        </row>
        <row r="355">
          <cell r="F355">
            <v>3585405</v>
          </cell>
          <cell r="G355" t="str">
            <v xml:space="preserve">Individual </v>
          </cell>
          <cell r="H355" t="str">
            <v>-</v>
          </cell>
          <cell r="I355" t="str">
            <v>Urmston Grammar Academy</v>
          </cell>
          <cell r="J355" t="str">
            <v>Northern</v>
          </cell>
          <cell r="K355">
            <v>0</v>
          </cell>
          <cell r="L355" t="str">
            <v>BDO</v>
          </cell>
        </row>
        <row r="356">
          <cell r="F356">
            <v>3844009</v>
          </cell>
          <cell r="G356" t="str">
            <v xml:space="preserve">Individual </v>
          </cell>
          <cell r="H356" t="str">
            <v>-</v>
          </cell>
          <cell r="I356" t="str">
            <v>Wakefield City Academy</v>
          </cell>
          <cell r="J356" t="str">
            <v>Northern</v>
          </cell>
          <cell r="K356">
            <v>0</v>
          </cell>
          <cell r="L356" t="str">
            <v>BDO</v>
          </cell>
        </row>
        <row r="357">
          <cell r="F357">
            <v>3724025</v>
          </cell>
          <cell r="G357" t="str">
            <v xml:space="preserve">Individual </v>
          </cell>
          <cell r="H357" t="str">
            <v>-</v>
          </cell>
          <cell r="I357" t="str">
            <v>Wales High School</v>
          </cell>
          <cell r="J357" t="str">
            <v>Northern</v>
          </cell>
          <cell r="K357">
            <v>0</v>
          </cell>
          <cell r="L357" t="str">
            <v>BDO</v>
          </cell>
        </row>
        <row r="358">
          <cell r="F358">
            <v>3356905</v>
          </cell>
          <cell r="G358" t="str">
            <v>Individual</v>
          </cell>
          <cell r="H358" t="str">
            <v>-</v>
          </cell>
          <cell r="I358" t="str">
            <v>Walsall Academy</v>
          </cell>
          <cell r="J358" t="str">
            <v>Western</v>
          </cell>
          <cell r="K358">
            <v>0</v>
          </cell>
          <cell r="L358" t="str">
            <v>BDO</v>
          </cell>
        </row>
        <row r="359">
          <cell r="F359">
            <v>3536907</v>
          </cell>
          <cell r="G359" t="str">
            <v xml:space="preserve">Individual </v>
          </cell>
          <cell r="H359" t="str">
            <v>-</v>
          </cell>
          <cell r="I359" t="str">
            <v>Waterhead Academy</v>
          </cell>
          <cell r="J359" t="str">
            <v>Northern</v>
          </cell>
          <cell r="K359">
            <v>0</v>
          </cell>
          <cell r="L359" t="str">
            <v>BDO</v>
          </cell>
        </row>
        <row r="360">
          <cell r="F360">
            <v>9195401</v>
          </cell>
          <cell r="G360">
            <v>0</v>
          </cell>
          <cell r="H360" t="str">
            <v>-</v>
          </cell>
          <cell r="I360" t="str">
            <v>Watford Grammar School for Boys</v>
          </cell>
          <cell r="J360" t="str">
            <v>Eastern</v>
          </cell>
          <cell r="K360">
            <v>0</v>
          </cell>
          <cell r="L360" t="str">
            <v>BDO</v>
          </cell>
        </row>
        <row r="361">
          <cell r="F361">
            <v>9195403</v>
          </cell>
          <cell r="G361">
            <v>0</v>
          </cell>
          <cell r="H361" t="str">
            <v>-</v>
          </cell>
          <cell r="I361" t="str">
            <v>Watford Grammar School for Girls</v>
          </cell>
          <cell r="J361" t="str">
            <v>Eastern</v>
          </cell>
          <cell r="K361">
            <v>0</v>
          </cell>
          <cell r="L361" t="str">
            <v>BDO</v>
          </cell>
        </row>
        <row r="362">
          <cell r="F362">
            <v>8864046</v>
          </cell>
          <cell r="G362" t="str">
            <v>Individual</v>
          </cell>
          <cell r="H362" t="str">
            <v>-</v>
          </cell>
          <cell r="I362" t="str">
            <v>Weald of Kent Grammar School</v>
          </cell>
          <cell r="J362" t="str">
            <v>Southern</v>
          </cell>
          <cell r="K362">
            <v>0</v>
          </cell>
          <cell r="L362" t="str">
            <v>BDO</v>
          </cell>
        </row>
        <row r="363">
          <cell r="F363">
            <v>3584016</v>
          </cell>
          <cell r="G363" t="str">
            <v xml:space="preserve">Individual </v>
          </cell>
          <cell r="H363" t="str">
            <v>-</v>
          </cell>
          <cell r="I363" t="str">
            <v>Wellacre Technology College</v>
          </cell>
          <cell r="J363" t="str">
            <v>Northern</v>
          </cell>
          <cell r="K363">
            <v>0</v>
          </cell>
          <cell r="L363" t="str">
            <v>BDO</v>
          </cell>
        </row>
        <row r="364">
          <cell r="F364">
            <v>3585400</v>
          </cell>
          <cell r="G364" t="str">
            <v xml:space="preserve">Individual </v>
          </cell>
          <cell r="H364" t="str">
            <v>-</v>
          </cell>
          <cell r="I364" t="str">
            <v>Wellington School</v>
          </cell>
          <cell r="J364" t="str">
            <v>Northern</v>
          </cell>
          <cell r="K364">
            <v>0</v>
          </cell>
          <cell r="L364" t="str">
            <v>BDO</v>
          </cell>
        </row>
        <row r="365">
          <cell r="F365">
            <v>9096907</v>
          </cell>
          <cell r="G365" t="str">
            <v xml:space="preserve">Individual </v>
          </cell>
          <cell r="H365" t="str">
            <v>-</v>
          </cell>
          <cell r="I365" t="str">
            <v>West Lakes Academy</v>
          </cell>
          <cell r="J365" t="str">
            <v>Northern</v>
          </cell>
          <cell r="K365">
            <v>0</v>
          </cell>
          <cell r="L365" t="str">
            <v>BDO</v>
          </cell>
        </row>
        <row r="366">
          <cell r="F366">
            <v>3076905</v>
          </cell>
          <cell r="G366" t="str">
            <v>Individual</v>
          </cell>
          <cell r="H366" t="str">
            <v>-</v>
          </cell>
          <cell r="I366" t="str">
            <v>West London Academy</v>
          </cell>
          <cell r="J366" t="str">
            <v>Southern</v>
          </cell>
          <cell r="K366">
            <v>0</v>
          </cell>
          <cell r="L366" t="str">
            <v>BDO</v>
          </cell>
        </row>
        <row r="367">
          <cell r="F367">
            <v>8315412</v>
          </cell>
          <cell r="G367">
            <v>0</v>
          </cell>
          <cell r="H367" t="str">
            <v>-</v>
          </cell>
          <cell r="I367" t="str">
            <v>West Park School</v>
          </cell>
          <cell r="J367" t="str">
            <v>Eastern</v>
          </cell>
          <cell r="K367">
            <v>0</v>
          </cell>
          <cell r="L367" t="str">
            <v>BDO</v>
          </cell>
        </row>
        <row r="368">
          <cell r="F368">
            <v>8825401</v>
          </cell>
          <cell r="G368">
            <v>0</v>
          </cell>
          <cell r="H368" t="str">
            <v>-</v>
          </cell>
          <cell r="I368" t="str">
            <v>Westcliff High School for Boys Academy</v>
          </cell>
          <cell r="J368" t="str">
            <v>Eastern</v>
          </cell>
          <cell r="K368">
            <v>0</v>
          </cell>
          <cell r="L368" t="str">
            <v>BDO</v>
          </cell>
        </row>
        <row r="369">
          <cell r="F369">
            <v>8825423</v>
          </cell>
          <cell r="G369">
            <v>0</v>
          </cell>
          <cell r="H369" t="str">
            <v>-</v>
          </cell>
          <cell r="I369" t="str">
            <v>Westcliff High School for Girls</v>
          </cell>
          <cell r="J369" t="str">
            <v>Eastern</v>
          </cell>
          <cell r="K369">
            <v>0</v>
          </cell>
          <cell r="L369" t="str">
            <v>BDO</v>
          </cell>
        </row>
        <row r="370">
          <cell r="F370">
            <v>2136906</v>
          </cell>
          <cell r="G370" t="str">
            <v>Individual</v>
          </cell>
          <cell r="H370" t="str">
            <v>-</v>
          </cell>
          <cell r="I370" t="str">
            <v>Westminster Academy</v>
          </cell>
          <cell r="J370" t="str">
            <v>Southern</v>
          </cell>
          <cell r="K370">
            <v>0</v>
          </cell>
          <cell r="L370" t="str">
            <v>BDO</v>
          </cell>
        </row>
        <row r="371">
          <cell r="F371">
            <v>3934605</v>
          </cell>
          <cell r="G371" t="str">
            <v xml:space="preserve">Individual </v>
          </cell>
          <cell r="H371" t="str">
            <v>-</v>
          </cell>
          <cell r="I371" t="str">
            <v>Whitburn Church of England Academy</v>
          </cell>
          <cell r="J371" t="str">
            <v>Northern</v>
          </cell>
          <cell r="K371">
            <v>0</v>
          </cell>
          <cell r="L371" t="str">
            <v>BDO</v>
          </cell>
        </row>
        <row r="372">
          <cell r="F372">
            <v>9255415</v>
          </cell>
          <cell r="G372">
            <v>0</v>
          </cell>
          <cell r="H372" t="str">
            <v>-</v>
          </cell>
          <cell r="I372" t="str">
            <v xml:space="preserve">William Farr Church of England Comprehensive School </v>
          </cell>
          <cell r="J372" t="str">
            <v>Eastern</v>
          </cell>
          <cell r="K372">
            <v>0</v>
          </cell>
          <cell r="L372" t="str">
            <v>BDO</v>
          </cell>
        </row>
        <row r="373">
          <cell r="F373">
            <v>3195400</v>
          </cell>
          <cell r="G373" t="str">
            <v>Individual</v>
          </cell>
          <cell r="H373" t="str">
            <v>-</v>
          </cell>
          <cell r="I373" t="str">
            <v>Wilson's School</v>
          </cell>
          <cell r="J373" t="str">
            <v>Southern</v>
          </cell>
          <cell r="K373">
            <v>0</v>
          </cell>
          <cell r="L373" t="str">
            <v>BDO</v>
          </cell>
        </row>
        <row r="374">
          <cell r="F374">
            <v>3325404</v>
          </cell>
          <cell r="G374" t="str">
            <v>Individual</v>
          </cell>
          <cell r="H374" t="str">
            <v>-</v>
          </cell>
          <cell r="I374" t="str">
            <v>Windsor High School and Sixth Form</v>
          </cell>
          <cell r="J374" t="str">
            <v>Western</v>
          </cell>
          <cell r="K374">
            <v>0</v>
          </cell>
          <cell r="L374" t="str">
            <v>BDO</v>
          </cell>
        </row>
        <row r="375">
          <cell r="F375">
            <v>3075200</v>
          </cell>
          <cell r="G375" t="str">
            <v>Individual</v>
          </cell>
          <cell r="H375" t="str">
            <v>-</v>
          </cell>
          <cell r="I375" t="str">
            <v>Wood End Junior School</v>
          </cell>
          <cell r="J375" t="str">
            <v>Southern</v>
          </cell>
          <cell r="K375">
            <v>0</v>
          </cell>
          <cell r="L375" t="str">
            <v>BDO</v>
          </cell>
        </row>
        <row r="376">
          <cell r="F376">
            <v>3026906</v>
          </cell>
          <cell r="G376" t="str">
            <v>Individual</v>
          </cell>
          <cell r="H376" t="str">
            <v>-</v>
          </cell>
          <cell r="I376" t="str">
            <v>Wren Academy</v>
          </cell>
          <cell r="J376" t="str">
            <v>Southern</v>
          </cell>
          <cell r="K376">
            <v>0</v>
          </cell>
          <cell r="L376" t="str">
            <v>BDO</v>
          </cell>
        </row>
        <row r="377">
          <cell r="F377">
            <v>9265400</v>
          </cell>
          <cell r="G377">
            <v>0</v>
          </cell>
          <cell r="H377" t="str">
            <v>-</v>
          </cell>
          <cell r="I377" t="str">
            <v>Wymondham College</v>
          </cell>
          <cell r="J377" t="str">
            <v>Eastern</v>
          </cell>
          <cell r="K377">
            <v>0</v>
          </cell>
          <cell r="L377" t="str">
            <v>BDO</v>
          </cell>
        </row>
        <row r="378">
          <cell r="F378">
            <v>3202007</v>
          </cell>
          <cell r="G378" t="str">
            <v>Individual</v>
          </cell>
          <cell r="H378" t="str">
            <v>-</v>
          </cell>
          <cell r="I378" t="str">
            <v>Yardley Primary School</v>
          </cell>
          <cell r="J378" t="str">
            <v>Southern</v>
          </cell>
          <cell r="K378">
            <v>0</v>
          </cell>
          <cell r="L378" t="str">
            <v>BDO</v>
          </cell>
        </row>
        <row r="379">
          <cell r="F379">
            <v>8225411</v>
          </cell>
          <cell r="G379">
            <v>0</v>
          </cell>
          <cell r="H379" t="str">
            <v>Academy Federation of North Bedfordshire Schools</v>
          </cell>
          <cell r="I379" t="str">
            <v>Harrold Priory Middle School</v>
          </cell>
          <cell r="J379" t="str">
            <v>Eastern</v>
          </cell>
          <cell r="K379">
            <v>0</v>
          </cell>
          <cell r="L379" t="str">
            <v>BDO</v>
          </cell>
        </row>
        <row r="380">
          <cell r="F380">
            <v>8225404</v>
          </cell>
          <cell r="G380">
            <v>0</v>
          </cell>
          <cell r="H380" t="str">
            <v>Academy Federation of North Bedfordshire Schools</v>
          </cell>
          <cell r="I380" t="str">
            <v>Lincroft Middle School</v>
          </cell>
          <cell r="J380" t="str">
            <v>Eastern</v>
          </cell>
          <cell r="K380">
            <v>0</v>
          </cell>
          <cell r="L380" t="str">
            <v>BDO</v>
          </cell>
        </row>
        <row r="381">
          <cell r="F381">
            <v>8224042</v>
          </cell>
          <cell r="G381">
            <v>0</v>
          </cell>
          <cell r="H381" t="str">
            <v>Academy Federation of North Bedfordshire Schools</v>
          </cell>
          <cell r="I381" t="str">
            <v>Margaret Beaufort Middle School and Arts College</v>
          </cell>
          <cell r="J381" t="str">
            <v>Eastern</v>
          </cell>
          <cell r="K381">
            <v>0</v>
          </cell>
          <cell r="L381" t="str">
            <v>BDO</v>
          </cell>
        </row>
        <row r="382">
          <cell r="F382">
            <v>8225402</v>
          </cell>
          <cell r="G382">
            <v>0</v>
          </cell>
          <cell r="H382" t="str">
            <v>Academy Federation of North Bedfordshire Schools</v>
          </cell>
          <cell r="I382" t="str">
            <v>Sharnbrook Upper School
(in federation with Lincroft Middle School, Harrold Priory Middle School and Margaret Beaufort Middle School and Arts College)</v>
          </cell>
          <cell r="J382" t="str">
            <v>Eastern</v>
          </cell>
          <cell r="K382">
            <v>0</v>
          </cell>
          <cell r="L382" t="str">
            <v>BDO</v>
          </cell>
        </row>
        <row r="383">
          <cell r="F383">
            <v>8816910</v>
          </cell>
          <cell r="G383">
            <v>0</v>
          </cell>
          <cell r="H383" t="str">
            <v>AET</v>
          </cell>
          <cell r="I383" t="str">
            <v>Clacton Coastal Academy</v>
          </cell>
          <cell r="J383" t="str">
            <v>Eastern</v>
          </cell>
          <cell r="K383">
            <v>0</v>
          </cell>
          <cell r="L383" t="str">
            <v>BDO</v>
          </cell>
        </row>
        <row r="384">
          <cell r="F384">
            <v>8816906</v>
          </cell>
          <cell r="G384">
            <v>0</v>
          </cell>
          <cell r="H384" t="str">
            <v>AET</v>
          </cell>
          <cell r="I384" t="str">
            <v>Greensward Academy</v>
          </cell>
          <cell r="J384" t="str">
            <v>Eastern</v>
          </cell>
          <cell r="K384">
            <v>0</v>
          </cell>
          <cell r="L384" t="str">
            <v>BDO</v>
          </cell>
        </row>
        <row r="385">
          <cell r="F385">
            <v>8816907</v>
          </cell>
          <cell r="G385">
            <v>0</v>
          </cell>
          <cell r="H385" t="str">
            <v>AET</v>
          </cell>
          <cell r="I385" t="str">
            <v>Maltings Academy</v>
          </cell>
          <cell r="J385" t="str">
            <v>Eastern</v>
          </cell>
          <cell r="K385">
            <v>0</v>
          </cell>
          <cell r="L385" t="str">
            <v>BDO</v>
          </cell>
        </row>
        <row r="386">
          <cell r="F386">
            <v>8816905</v>
          </cell>
          <cell r="G386">
            <v>0</v>
          </cell>
          <cell r="H386" t="str">
            <v>AET</v>
          </cell>
          <cell r="I386" t="str">
            <v>New Rickstones Academy</v>
          </cell>
          <cell r="J386" t="str">
            <v>Eastern</v>
          </cell>
          <cell r="K386">
            <v>0</v>
          </cell>
          <cell r="L386" t="str">
            <v>BDO</v>
          </cell>
        </row>
        <row r="387">
          <cell r="F387">
            <v>3186907</v>
          </cell>
          <cell r="G387">
            <v>0</v>
          </cell>
          <cell r="H387" t="str">
            <v>AET</v>
          </cell>
          <cell r="I387" t="str">
            <v>Richmond Park Academy</v>
          </cell>
          <cell r="J387" t="str">
            <v>Eastern</v>
          </cell>
          <cell r="K387">
            <v>0</v>
          </cell>
          <cell r="L387" t="str">
            <v>BDO</v>
          </cell>
        </row>
        <row r="388">
          <cell r="F388">
            <v>3046906</v>
          </cell>
          <cell r="G388" t="str">
            <v>Federation</v>
          </cell>
          <cell r="H388" t="str">
            <v>ARK</v>
          </cell>
          <cell r="I388" t="str">
            <v>Ark Academy</v>
          </cell>
          <cell r="J388" t="str">
            <v>Southern</v>
          </cell>
          <cell r="K388">
            <v>0</v>
          </cell>
          <cell r="L388" t="str">
            <v>BDO</v>
          </cell>
        </row>
        <row r="389">
          <cell r="F389">
            <v>2056905</v>
          </cell>
          <cell r="G389" t="str">
            <v>Federation</v>
          </cell>
          <cell r="H389" t="str">
            <v>ARK</v>
          </cell>
          <cell r="I389" t="str">
            <v>Burlington Danes Academy</v>
          </cell>
          <cell r="J389" t="str">
            <v>Southern</v>
          </cell>
          <cell r="K389">
            <v>0</v>
          </cell>
          <cell r="L389" t="str">
            <v>BDO</v>
          </cell>
        </row>
        <row r="390">
          <cell r="F390">
            <v>8516905</v>
          </cell>
          <cell r="G390" t="str">
            <v>Federation</v>
          </cell>
          <cell r="H390" t="str">
            <v>ARK</v>
          </cell>
          <cell r="I390" t="str">
            <v>Charter Academy</v>
          </cell>
          <cell r="J390" t="str">
            <v>Southern</v>
          </cell>
          <cell r="K390">
            <v>0</v>
          </cell>
          <cell r="L390" t="str">
            <v>BDO</v>
          </cell>
        </row>
        <row r="391">
          <cell r="F391">
            <v>2086906</v>
          </cell>
          <cell r="G391" t="str">
            <v>Federation</v>
          </cell>
          <cell r="H391" t="str">
            <v>ARK</v>
          </cell>
          <cell r="I391" t="str">
            <v>Evelyn Grace Academy</v>
          </cell>
          <cell r="J391" t="str">
            <v>Southern</v>
          </cell>
          <cell r="K391">
            <v>0</v>
          </cell>
          <cell r="L391" t="str">
            <v>BDO</v>
          </cell>
        </row>
        <row r="392">
          <cell r="F392">
            <v>2106912</v>
          </cell>
          <cell r="G392" t="str">
            <v>Federation</v>
          </cell>
          <cell r="H392" t="str">
            <v>ARK</v>
          </cell>
          <cell r="I392" t="str">
            <v>Globe Academy</v>
          </cell>
          <cell r="J392" t="str">
            <v>Southern</v>
          </cell>
          <cell r="K392">
            <v>0</v>
          </cell>
          <cell r="L392" t="str">
            <v>BDO</v>
          </cell>
        </row>
        <row r="393">
          <cell r="F393">
            <v>2136907</v>
          </cell>
          <cell r="G393" t="str">
            <v>Federation</v>
          </cell>
          <cell r="H393" t="str">
            <v>ARK</v>
          </cell>
          <cell r="I393" t="str">
            <v>King Solomon Academy</v>
          </cell>
          <cell r="J393" t="str">
            <v>Southern</v>
          </cell>
          <cell r="K393">
            <v>0</v>
          </cell>
          <cell r="L393" t="str">
            <v>BDO</v>
          </cell>
        </row>
        <row r="394">
          <cell r="F394">
            <v>3306908</v>
          </cell>
          <cell r="G394" t="str">
            <v>Federation</v>
          </cell>
          <cell r="H394" t="str">
            <v>ARK</v>
          </cell>
          <cell r="I394" t="str">
            <v>St Alban's Academy</v>
          </cell>
          <cell r="J394" t="str">
            <v>Southern</v>
          </cell>
          <cell r="K394">
            <v>0</v>
          </cell>
          <cell r="L394" t="str">
            <v>BDO</v>
          </cell>
        </row>
        <row r="395">
          <cell r="F395">
            <v>2106909</v>
          </cell>
          <cell r="G395" t="str">
            <v>Federation</v>
          </cell>
          <cell r="H395" t="str">
            <v>ARK</v>
          </cell>
          <cell r="I395" t="str">
            <v>Walworth Academy</v>
          </cell>
          <cell r="J395" t="str">
            <v>Southern</v>
          </cell>
          <cell r="K395">
            <v>0</v>
          </cell>
          <cell r="L395" t="str">
            <v>BDO</v>
          </cell>
        </row>
        <row r="396">
          <cell r="F396">
            <v>8816908</v>
          </cell>
          <cell r="G396">
            <v>0</v>
          </cell>
          <cell r="H396" t="str">
            <v>Basildon Academy Trust</v>
          </cell>
          <cell r="I396" t="str">
            <v>The Basildon Lower Academy</v>
          </cell>
          <cell r="J396" t="str">
            <v>Eastern</v>
          </cell>
          <cell r="K396">
            <v>0</v>
          </cell>
          <cell r="L396" t="str">
            <v>BDO</v>
          </cell>
        </row>
        <row r="397">
          <cell r="F397">
            <v>8816909</v>
          </cell>
          <cell r="G397">
            <v>0</v>
          </cell>
          <cell r="H397" t="str">
            <v>Basildon Academy Trust</v>
          </cell>
          <cell r="I397" t="str">
            <v>The Basildon Upper Academy</v>
          </cell>
          <cell r="J397" t="str">
            <v>Eastern</v>
          </cell>
          <cell r="K397">
            <v>0</v>
          </cell>
          <cell r="L397" t="str">
            <v>BDO</v>
          </cell>
        </row>
        <row r="398">
          <cell r="F398">
            <v>3942083</v>
          </cell>
          <cell r="G398" t="str">
            <v>Federation</v>
          </cell>
          <cell r="H398" t="str">
            <v>Bexhill and Town End Academies Trust</v>
          </cell>
          <cell r="I398" t="str">
            <v>Bexhill Primary School</v>
          </cell>
          <cell r="J398" t="str">
            <v>Northern</v>
          </cell>
          <cell r="K398">
            <v>0</v>
          </cell>
          <cell r="L398" t="str">
            <v>BDO</v>
          </cell>
        </row>
        <row r="399">
          <cell r="F399">
            <v>3942081</v>
          </cell>
          <cell r="G399" t="str">
            <v>Federation</v>
          </cell>
          <cell r="H399" t="str">
            <v>Bexhill and Town End Academies Trust</v>
          </cell>
          <cell r="I399" t="str">
            <v xml:space="preserve">Town End Primary School </v>
          </cell>
          <cell r="J399" t="str">
            <v>Northern</v>
          </cell>
          <cell r="K399">
            <v>0</v>
          </cell>
          <cell r="L399" t="str">
            <v>BDO</v>
          </cell>
        </row>
        <row r="400">
          <cell r="F400">
            <v>8016907</v>
          </cell>
          <cell r="G400" t="str">
            <v>Federation</v>
          </cell>
          <cell r="H400" t="str">
            <v>Cabot Learning Federation</v>
          </cell>
          <cell r="I400" t="str">
            <v>Bristol Brunel Academy</v>
          </cell>
          <cell r="J400" t="str">
            <v>Western</v>
          </cell>
          <cell r="K400">
            <v>0</v>
          </cell>
          <cell r="L400" t="str">
            <v>BDO</v>
          </cell>
        </row>
        <row r="401">
          <cell r="F401">
            <v>8016913</v>
          </cell>
          <cell r="G401" t="str">
            <v>Federation</v>
          </cell>
          <cell r="H401" t="str">
            <v>Cabot Learning Federation</v>
          </cell>
          <cell r="I401" t="str">
            <v>Bristol Metropolitan Academy</v>
          </cell>
          <cell r="J401" t="str">
            <v>Western</v>
          </cell>
          <cell r="K401">
            <v>0</v>
          </cell>
          <cell r="L401" t="str">
            <v>BDO</v>
          </cell>
        </row>
        <row r="402">
          <cell r="F402">
            <v>8024145</v>
          </cell>
          <cell r="G402" t="str">
            <v>Federation</v>
          </cell>
          <cell r="H402" t="str">
            <v>Cabot Learning Federation</v>
          </cell>
          <cell r="I402" t="str">
            <v>Hans Price Academy</v>
          </cell>
          <cell r="J402" t="str">
            <v>Western</v>
          </cell>
          <cell r="K402">
            <v>0</v>
          </cell>
          <cell r="L402" t="str">
            <v>BDO</v>
          </cell>
        </row>
        <row r="403">
          <cell r="F403">
            <v>8036906</v>
          </cell>
          <cell r="G403" t="str">
            <v>Federation</v>
          </cell>
          <cell r="H403" t="str">
            <v>Cabot Learning Federation</v>
          </cell>
          <cell r="I403" t="str">
            <v>John Cabot Academy</v>
          </cell>
          <cell r="J403" t="str">
            <v>Western</v>
          </cell>
          <cell r="K403">
            <v>0</v>
          </cell>
          <cell r="L403" t="str">
            <v>BDO</v>
          </cell>
        </row>
        <row r="404">
          <cell r="F404">
            <v>9316907</v>
          </cell>
          <cell r="G404" t="str">
            <v>Federation</v>
          </cell>
          <cell r="H404" t="str">
            <v>CFBT Schools Trust</v>
          </cell>
          <cell r="I404" t="str">
            <v>Oxford Spires Academy</v>
          </cell>
          <cell r="J404" t="str">
            <v>Southern</v>
          </cell>
          <cell r="K404">
            <v>0</v>
          </cell>
          <cell r="L404" t="str">
            <v>BDO</v>
          </cell>
        </row>
        <row r="405">
          <cell r="F405">
            <v>3366906</v>
          </cell>
          <cell r="G405" t="str">
            <v>Federation</v>
          </cell>
          <cell r="H405" t="str">
            <v>City of Wolverhampton Academy Trust</v>
          </cell>
          <cell r="I405" t="str">
            <v>North East Wolverhampton Academy</v>
          </cell>
          <cell r="J405" t="str">
            <v>Western</v>
          </cell>
          <cell r="K405">
            <v>0</v>
          </cell>
          <cell r="L405" t="str">
            <v>BDO</v>
          </cell>
        </row>
        <row r="406">
          <cell r="F406">
            <v>3366905</v>
          </cell>
          <cell r="G406" t="str">
            <v>Federation</v>
          </cell>
          <cell r="H406" t="str">
            <v>City of Wolverhampton Academy Trust</v>
          </cell>
          <cell r="I406" t="str">
            <v>South Wolverhampton and Bilston Academy</v>
          </cell>
          <cell r="J406" t="str">
            <v>Western</v>
          </cell>
          <cell r="K406">
            <v>0</v>
          </cell>
          <cell r="L406" t="str">
            <v>BDO</v>
          </cell>
        </row>
        <row r="407">
          <cell r="F407">
            <v>8865462</v>
          </cell>
          <cell r="G407" t="str">
            <v>Federation</v>
          </cell>
          <cell r="H407" t="str">
            <v>Clarendon House Grammar School</v>
          </cell>
          <cell r="I407" t="str">
            <v>Chatham House Grammar School (in federation with The Clarendon House Grammar School)</v>
          </cell>
          <cell r="J407" t="str">
            <v>Southern</v>
          </cell>
          <cell r="K407">
            <v>0</v>
          </cell>
          <cell r="L407" t="str">
            <v>BDO</v>
          </cell>
        </row>
        <row r="408">
          <cell r="F408">
            <v>8864118</v>
          </cell>
          <cell r="G408" t="str">
            <v>Federation</v>
          </cell>
          <cell r="H408" t="str">
            <v>Clarendon House Grammar School</v>
          </cell>
          <cell r="I408" t="str">
            <v>The Clarendon House Grammar School (in federation with Chatham House)</v>
          </cell>
          <cell r="J408" t="str">
            <v>Southern</v>
          </cell>
          <cell r="K408">
            <v>0</v>
          </cell>
          <cell r="L408" t="str">
            <v>BDO</v>
          </cell>
        </row>
        <row r="409">
          <cell r="F409">
            <v>3336907</v>
          </cell>
          <cell r="G409" t="str">
            <v>Federation</v>
          </cell>
          <cell r="H409" t="str">
            <v>Collegiate Academy</v>
          </cell>
          <cell r="I409" t="str">
            <v>George Salter Collegiate Academy</v>
          </cell>
          <cell r="J409" t="str">
            <v>Western</v>
          </cell>
          <cell r="K409">
            <v>0</v>
          </cell>
          <cell r="L409" t="str">
            <v>BDO</v>
          </cell>
        </row>
        <row r="410">
          <cell r="F410">
            <v>3336906</v>
          </cell>
          <cell r="G410" t="str">
            <v>Federation</v>
          </cell>
          <cell r="H410" t="str">
            <v>Collegiate Academy</v>
          </cell>
          <cell r="I410" t="str">
            <v>Shireland Collegiate Academy</v>
          </cell>
          <cell r="J410" t="str">
            <v>Western</v>
          </cell>
          <cell r="K410">
            <v>0</v>
          </cell>
          <cell r="L410" t="str">
            <v>BDO</v>
          </cell>
        </row>
        <row r="411">
          <cell r="F411">
            <v>3082078</v>
          </cell>
          <cell r="G411" t="str">
            <v>Federation</v>
          </cell>
          <cell r="H411" t="str">
            <v>Cuckoo Hall academies Trust</v>
          </cell>
          <cell r="I411" t="str">
            <v>Cuckoo Hall Academy</v>
          </cell>
          <cell r="J411" t="str">
            <v>Southern</v>
          </cell>
          <cell r="K411">
            <v>0</v>
          </cell>
          <cell r="L411" t="str">
            <v>BDO</v>
          </cell>
        </row>
        <row r="412">
          <cell r="F412">
            <v>8126907</v>
          </cell>
          <cell r="G412" t="str">
            <v>Federation</v>
          </cell>
          <cell r="H412" t="str">
            <v>David Ross Academies</v>
          </cell>
          <cell r="I412" t="str">
            <v>Havelock Academy</v>
          </cell>
          <cell r="J412" t="str">
            <v>Northern</v>
          </cell>
          <cell r="K412">
            <v>0</v>
          </cell>
          <cell r="L412" t="str">
            <v>BDO</v>
          </cell>
        </row>
        <row r="413">
          <cell r="F413">
            <v>3046908</v>
          </cell>
          <cell r="G413" t="str">
            <v>Federation</v>
          </cell>
          <cell r="H413" t="str">
            <v>E-ACT</v>
          </cell>
          <cell r="I413" t="str">
            <v>Crest Boys' Academy (E-ACT)</v>
          </cell>
          <cell r="J413" t="str">
            <v>Southern</v>
          </cell>
          <cell r="K413">
            <v>0</v>
          </cell>
          <cell r="L413" t="str">
            <v>BDO</v>
          </cell>
        </row>
        <row r="414">
          <cell r="F414">
            <v>3046907</v>
          </cell>
          <cell r="G414" t="str">
            <v>Federation</v>
          </cell>
          <cell r="H414" t="str">
            <v>E-ACT</v>
          </cell>
          <cell r="I414" t="str">
            <v>Crest Girls' Academy (E-ACT)</v>
          </cell>
          <cell r="J414" t="str">
            <v>Southern</v>
          </cell>
          <cell r="K414">
            <v>0</v>
          </cell>
          <cell r="L414" t="str">
            <v>BDO</v>
          </cell>
        </row>
        <row r="415">
          <cell r="F415">
            <v>8786905</v>
          </cell>
          <cell r="G415" t="str">
            <v>Federation</v>
          </cell>
          <cell r="H415" t="str">
            <v>E-ACT</v>
          </cell>
          <cell r="I415" t="str">
            <v>Dartmouth Academy (E-ACT)</v>
          </cell>
          <cell r="J415" t="str">
            <v>Southern</v>
          </cell>
          <cell r="K415">
            <v>0</v>
          </cell>
          <cell r="L415" t="str">
            <v>BDO</v>
          </cell>
        </row>
        <row r="416">
          <cell r="F416">
            <v>3306905</v>
          </cell>
          <cell r="G416" t="str">
            <v>Federation</v>
          </cell>
          <cell r="H416" t="str">
            <v>E-ACT</v>
          </cell>
          <cell r="I416" t="str">
            <v>Heartlands Academy (E-ACT)</v>
          </cell>
          <cell r="J416" t="str">
            <v>Southern</v>
          </cell>
          <cell r="K416">
            <v>0</v>
          </cell>
          <cell r="L416" t="str">
            <v>BDO</v>
          </cell>
        </row>
        <row r="417">
          <cell r="F417">
            <v>3836906</v>
          </cell>
          <cell r="G417" t="str">
            <v>Federation</v>
          </cell>
          <cell r="H417" t="str">
            <v>E-ACT</v>
          </cell>
          <cell r="I417" t="str">
            <v>Leeds West Academy (E-ACT)</v>
          </cell>
          <cell r="J417" t="str">
            <v>Southern</v>
          </cell>
          <cell r="K417">
            <v>0</v>
          </cell>
          <cell r="L417" t="str">
            <v>BDO</v>
          </cell>
        </row>
        <row r="418">
          <cell r="F418">
            <v>3306909</v>
          </cell>
          <cell r="G418" t="str">
            <v>Federation</v>
          </cell>
          <cell r="H418" t="str">
            <v>E-ACT</v>
          </cell>
          <cell r="I418" t="str">
            <v>North Birmingham Academy (E-ACT)</v>
          </cell>
          <cell r="J418" t="str">
            <v>Southern</v>
          </cell>
          <cell r="K418">
            <v>0</v>
          </cell>
          <cell r="L418" t="str">
            <v>BDO</v>
          </cell>
        </row>
        <row r="419">
          <cell r="F419">
            <v>3736907</v>
          </cell>
          <cell r="G419" t="str">
            <v>Federation</v>
          </cell>
          <cell r="H419" t="str">
            <v>E-ACT</v>
          </cell>
          <cell r="I419" t="str">
            <v>Parkwood Academy (E-ACT)</v>
          </cell>
          <cell r="J419" t="str">
            <v>Southern</v>
          </cell>
          <cell r="K419">
            <v>0</v>
          </cell>
          <cell r="L419" t="str">
            <v>BDO</v>
          </cell>
        </row>
        <row r="420">
          <cell r="F420">
            <v>3306907</v>
          </cell>
          <cell r="G420" t="str">
            <v>Federation</v>
          </cell>
          <cell r="H420" t="str">
            <v>E-ACT</v>
          </cell>
          <cell r="I420" t="str">
            <v>Shenley Academy (E-ACT)</v>
          </cell>
          <cell r="J420" t="str">
            <v>Southern</v>
          </cell>
          <cell r="K420">
            <v>0</v>
          </cell>
          <cell r="L420" t="str">
            <v>BDO</v>
          </cell>
        </row>
        <row r="421">
          <cell r="F421">
            <v>3536906</v>
          </cell>
          <cell r="G421" t="str">
            <v>Federation</v>
          </cell>
          <cell r="H421" t="str">
            <v>E-ACT</v>
          </cell>
          <cell r="I421" t="str">
            <v>The Oldham Academy North (E-ACT)</v>
          </cell>
          <cell r="J421" t="str">
            <v>Southern</v>
          </cell>
          <cell r="K421">
            <v>0</v>
          </cell>
          <cell r="L421" t="str">
            <v>BDO</v>
          </cell>
        </row>
        <row r="422">
          <cell r="F422">
            <v>8966906</v>
          </cell>
          <cell r="G422" t="str">
            <v>Federation</v>
          </cell>
          <cell r="H422" t="str">
            <v>E-ACT</v>
          </cell>
          <cell r="I422" t="str">
            <v>The Winsford Academy (E-ACT)</v>
          </cell>
          <cell r="J422" t="str">
            <v>Southern</v>
          </cell>
          <cell r="K422">
            <v>0</v>
          </cell>
          <cell r="L422" t="str">
            <v>BDO</v>
          </cell>
        </row>
        <row r="423">
          <cell r="F423">
            <v>9256908</v>
          </cell>
          <cell r="G423" t="str">
            <v>Federation</v>
          </cell>
          <cell r="H423" t="str">
            <v>E-ACT</v>
          </cell>
          <cell r="I423" t="str">
            <v>Trent Valley Academy (E-ACT)</v>
          </cell>
          <cell r="J423" t="str">
            <v>Southern</v>
          </cell>
          <cell r="K423">
            <v>0</v>
          </cell>
          <cell r="L423" t="str">
            <v>BDO</v>
          </cell>
        </row>
        <row r="424">
          <cell r="F424">
            <v>8866913</v>
          </cell>
          <cell r="G424" t="str">
            <v>Federation</v>
          </cell>
          <cell r="H424" t="str">
            <v>Future Schools Trust</v>
          </cell>
          <cell r="I424" t="str">
            <v>Cornwallis Academy</v>
          </cell>
          <cell r="J424" t="str">
            <v>Southern</v>
          </cell>
          <cell r="K424">
            <v>0</v>
          </cell>
          <cell r="L424" t="str">
            <v>BDO</v>
          </cell>
        </row>
        <row r="425">
          <cell r="F425">
            <v>8866912</v>
          </cell>
          <cell r="G425" t="str">
            <v>Federation</v>
          </cell>
          <cell r="H425" t="str">
            <v>Future Schools Trust</v>
          </cell>
          <cell r="I425" t="str">
            <v>New Line Learning Academy</v>
          </cell>
          <cell r="J425" t="str">
            <v>Southern</v>
          </cell>
          <cell r="K425">
            <v>0</v>
          </cell>
          <cell r="L425" t="str">
            <v>BDO</v>
          </cell>
        </row>
        <row r="426">
          <cell r="F426">
            <v>3446905</v>
          </cell>
          <cell r="G426" t="str">
            <v>Federation</v>
          </cell>
          <cell r="H426" t="str">
            <v>Girls Day Schools Trust (GDST)</v>
          </cell>
          <cell r="I426" t="str">
            <v>Birkenhead High School Academy</v>
          </cell>
          <cell r="J426" t="str">
            <v>Northern</v>
          </cell>
          <cell r="K426">
            <v>0</v>
          </cell>
          <cell r="L426" t="str">
            <v>BDO</v>
          </cell>
        </row>
        <row r="427">
          <cell r="F427">
            <v>3416907</v>
          </cell>
          <cell r="G427" t="str">
            <v>Federation</v>
          </cell>
          <cell r="H427" t="str">
            <v>Girls Day Schools Trust (GDST)</v>
          </cell>
          <cell r="I427" t="str">
            <v>The Belvedere Academy</v>
          </cell>
          <cell r="J427" t="str">
            <v>Northern</v>
          </cell>
          <cell r="K427">
            <v>0</v>
          </cell>
          <cell r="L427" t="str">
            <v>BDO</v>
          </cell>
        </row>
        <row r="428">
          <cell r="F428">
            <v>3914429</v>
          </cell>
          <cell r="G428" t="str">
            <v>Federation</v>
          </cell>
          <cell r="H428" t="str">
            <v>Gosforth Academies Trust</v>
          </cell>
          <cell r="I428" t="str">
            <v>Gosforth Academy
(in federation with Gosforth Junior High Academy)</v>
          </cell>
          <cell r="J428" t="str">
            <v>Northern</v>
          </cell>
          <cell r="K428">
            <v>0</v>
          </cell>
          <cell r="L428" t="str">
            <v>BDO</v>
          </cell>
        </row>
        <row r="429">
          <cell r="F429">
            <v>3914303</v>
          </cell>
          <cell r="G429" t="str">
            <v>Federation</v>
          </cell>
          <cell r="H429" t="str">
            <v>Gosforth Academies Trust</v>
          </cell>
          <cell r="I429" t="str">
            <v>Gosforth Junior High Academy
(in federation with Gosforth Academy)</v>
          </cell>
          <cell r="J429" t="str">
            <v>Northern</v>
          </cell>
          <cell r="K429">
            <v>0</v>
          </cell>
          <cell r="L429" t="str">
            <v>BDO</v>
          </cell>
        </row>
        <row r="430">
          <cell r="F430">
            <v>3316905</v>
          </cell>
          <cell r="G430" t="str">
            <v>Federation</v>
          </cell>
          <cell r="H430" t="str">
            <v>Grace Academy</v>
          </cell>
          <cell r="I430" t="str">
            <v>Grace Academy Coventry</v>
          </cell>
          <cell r="J430" t="str">
            <v>Western</v>
          </cell>
          <cell r="K430">
            <v>0</v>
          </cell>
          <cell r="L430" t="str">
            <v>BDO</v>
          </cell>
        </row>
        <row r="431">
          <cell r="F431">
            <v>3356907</v>
          </cell>
          <cell r="G431" t="str">
            <v>Federation</v>
          </cell>
          <cell r="H431" t="str">
            <v>Grace Academy</v>
          </cell>
          <cell r="I431" t="str">
            <v>Grace Academy Darlaston</v>
          </cell>
          <cell r="J431" t="str">
            <v>Western</v>
          </cell>
          <cell r="K431">
            <v>0</v>
          </cell>
          <cell r="L431" t="str">
            <v>BDO</v>
          </cell>
        </row>
        <row r="432">
          <cell r="F432">
            <v>3346905</v>
          </cell>
          <cell r="G432" t="str">
            <v>Federation</v>
          </cell>
          <cell r="H432" t="str">
            <v>Grace Academy</v>
          </cell>
          <cell r="I432" t="str">
            <v>Grace Academy Solihull</v>
          </cell>
          <cell r="J432" t="str">
            <v>Western</v>
          </cell>
          <cell r="K432">
            <v>0</v>
          </cell>
          <cell r="L432" t="str">
            <v>BDO</v>
          </cell>
        </row>
        <row r="433">
          <cell r="F433">
            <v>8926907</v>
          </cell>
          <cell r="G433">
            <v>0</v>
          </cell>
          <cell r="H433" t="str">
            <v>Greenwood Academy Trust</v>
          </cell>
          <cell r="I433" t="str">
            <v>Nottingham Academy</v>
          </cell>
          <cell r="J433" t="str">
            <v>Eastern</v>
          </cell>
          <cell r="K433">
            <v>0</v>
          </cell>
          <cell r="L433" t="str">
            <v>BDO</v>
          </cell>
        </row>
        <row r="434">
          <cell r="F434">
            <v>9256911</v>
          </cell>
          <cell r="G434">
            <v>0</v>
          </cell>
          <cell r="H434" t="str">
            <v>Greenwood Academy Trust</v>
          </cell>
          <cell r="I434" t="str">
            <v>Skegness Academy</v>
          </cell>
          <cell r="J434" t="str">
            <v>Eastern</v>
          </cell>
          <cell r="K434">
            <v>0</v>
          </cell>
          <cell r="L434" t="str">
            <v>BDO</v>
          </cell>
        </row>
        <row r="435">
          <cell r="F435">
            <v>3036907</v>
          </cell>
          <cell r="G435" t="str">
            <v>Federation</v>
          </cell>
          <cell r="H435" t="str">
            <v>Haberdashers</v>
          </cell>
          <cell r="I435" t="str">
            <v>Haberdashers' Aske's Crayford Academy</v>
          </cell>
          <cell r="J435" t="str">
            <v>Southern</v>
          </cell>
          <cell r="K435">
            <v>0</v>
          </cell>
          <cell r="L435" t="str">
            <v>BDO</v>
          </cell>
        </row>
        <row r="436">
          <cell r="F436">
            <v>2096905</v>
          </cell>
          <cell r="G436" t="str">
            <v>Federation</v>
          </cell>
          <cell r="H436" t="str">
            <v>Haberdashers</v>
          </cell>
          <cell r="I436" t="str">
            <v>Haberdashers' Aske's Hatcham Academy</v>
          </cell>
          <cell r="J436" t="str">
            <v>Southern</v>
          </cell>
          <cell r="K436">
            <v>0</v>
          </cell>
          <cell r="L436" t="str">
            <v>BDO</v>
          </cell>
        </row>
        <row r="437">
          <cell r="F437">
            <v>2096906</v>
          </cell>
          <cell r="G437" t="str">
            <v>Federation</v>
          </cell>
          <cell r="H437" t="str">
            <v>Haberdashers</v>
          </cell>
          <cell r="I437" t="str">
            <v>Haberdashers' Aske's Knights Academy</v>
          </cell>
          <cell r="J437" t="str">
            <v>Southern</v>
          </cell>
          <cell r="K437">
            <v>0</v>
          </cell>
          <cell r="L437" t="str">
            <v>BDO</v>
          </cell>
        </row>
        <row r="438">
          <cell r="F438">
            <v>8946906</v>
          </cell>
          <cell r="G438" t="str">
            <v>Individual</v>
          </cell>
          <cell r="H438" t="str">
            <v>Haberdashers Adams Federation Trust</v>
          </cell>
          <cell r="I438" t="str">
            <v>Abraham Darby Academy</v>
          </cell>
          <cell r="J438" t="str">
            <v>Western</v>
          </cell>
          <cell r="K438">
            <v>0</v>
          </cell>
          <cell r="L438" t="str">
            <v>BDO</v>
          </cell>
        </row>
        <row r="439">
          <cell r="F439">
            <v>2106907</v>
          </cell>
          <cell r="G439" t="str">
            <v>Federation</v>
          </cell>
          <cell r="H439" t="str">
            <v>Harris</v>
          </cell>
          <cell r="I439" t="str">
            <v>Harris Academy Bermondsey</v>
          </cell>
          <cell r="J439" t="str">
            <v>Southern</v>
          </cell>
          <cell r="K439">
            <v>0</v>
          </cell>
          <cell r="L439" t="str">
            <v>BDO</v>
          </cell>
        </row>
        <row r="440">
          <cell r="F440">
            <v>3036906</v>
          </cell>
          <cell r="G440" t="str">
            <v>Federation</v>
          </cell>
          <cell r="H440" t="str">
            <v>Harris</v>
          </cell>
          <cell r="I440" t="str">
            <v xml:space="preserve">Harris Academy Falconwood </v>
          </cell>
          <cell r="J440" t="str">
            <v>Southern</v>
          </cell>
          <cell r="K440">
            <v>0</v>
          </cell>
          <cell r="L440" t="str">
            <v>BDO</v>
          </cell>
        </row>
        <row r="441">
          <cell r="F441">
            <v>3156905</v>
          </cell>
          <cell r="G441" t="str">
            <v>Federation</v>
          </cell>
          <cell r="H441" t="str">
            <v>Harris</v>
          </cell>
          <cell r="I441" t="str">
            <v>Harris Academy Merton</v>
          </cell>
          <cell r="J441" t="str">
            <v>Southern</v>
          </cell>
          <cell r="K441">
            <v>0</v>
          </cell>
          <cell r="L441" t="str">
            <v>BDO</v>
          </cell>
        </row>
        <row r="442">
          <cell r="F442">
            <v>3066908</v>
          </cell>
          <cell r="G442" t="str">
            <v>Federation</v>
          </cell>
          <cell r="H442" t="str">
            <v>Harris</v>
          </cell>
          <cell r="I442" t="str">
            <v>Harris Academy Purley</v>
          </cell>
          <cell r="J442" t="str">
            <v>Southern</v>
          </cell>
          <cell r="K442">
            <v>0</v>
          </cell>
          <cell r="L442" t="str">
            <v>BDO</v>
          </cell>
        </row>
        <row r="443">
          <cell r="F443">
            <v>3066905</v>
          </cell>
          <cell r="G443" t="str">
            <v>Federation</v>
          </cell>
          <cell r="H443" t="str">
            <v>Harris</v>
          </cell>
          <cell r="I443" t="str">
            <v>Harris Academy South Norwood</v>
          </cell>
          <cell r="J443" t="str">
            <v>Southern</v>
          </cell>
          <cell r="K443">
            <v>0</v>
          </cell>
          <cell r="L443" t="str">
            <v>BDO</v>
          </cell>
        </row>
        <row r="444">
          <cell r="F444">
            <v>2106906</v>
          </cell>
          <cell r="G444" t="str">
            <v>Federation</v>
          </cell>
          <cell r="H444" t="str">
            <v>Harris</v>
          </cell>
          <cell r="I444" t="str">
            <v>Harris Academy, Peckham</v>
          </cell>
          <cell r="J444" t="str">
            <v>Southern</v>
          </cell>
          <cell r="K444">
            <v>0</v>
          </cell>
          <cell r="L444" t="str">
            <v>BDO</v>
          </cell>
        </row>
        <row r="445">
          <cell r="F445">
            <v>2106913</v>
          </cell>
          <cell r="G445" t="str">
            <v>Federation</v>
          </cell>
          <cell r="H445" t="str">
            <v>Harris</v>
          </cell>
          <cell r="I445" t="str">
            <v>Harris Boys' Academy East Dulwich</v>
          </cell>
          <cell r="J445" t="str">
            <v>Southern</v>
          </cell>
          <cell r="K445">
            <v>0</v>
          </cell>
          <cell r="L445" t="str">
            <v>BDO</v>
          </cell>
        </row>
        <row r="446">
          <cell r="F446">
            <v>3066906</v>
          </cell>
          <cell r="G446" t="str">
            <v>Federation</v>
          </cell>
          <cell r="H446" t="str">
            <v>Harris</v>
          </cell>
          <cell r="I446" t="str">
            <v>Harris City Academy Crystal Palace</v>
          </cell>
          <cell r="J446" t="str">
            <v>Southern</v>
          </cell>
          <cell r="K446">
            <v>0</v>
          </cell>
          <cell r="L446" t="str">
            <v>BDO</v>
          </cell>
        </row>
        <row r="447">
          <cell r="F447">
            <v>2106908</v>
          </cell>
          <cell r="G447" t="str">
            <v>Federation</v>
          </cell>
          <cell r="H447" t="str">
            <v>Harris</v>
          </cell>
          <cell r="I447" t="str">
            <v>Harris Girls' Academy East Dulwich</v>
          </cell>
          <cell r="J447" t="str">
            <v>Southern</v>
          </cell>
          <cell r="K447">
            <v>0</v>
          </cell>
          <cell r="L447" t="str">
            <v>BDO</v>
          </cell>
        </row>
        <row r="448">
          <cell r="F448">
            <v>8784184</v>
          </cell>
          <cell r="G448" t="str">
            <v>Individual</v>
          </cell>
          <cell r="H448" t="str">
            <v xml:space="preserve">Ivybridge Comm Trust </v>
          </cell>
          <cell r="I448" t="str">
            <v>Ivybridge Community College</v>
          </cell>
          <cell r="J448" t="str">
            <v>Western</v>
          </cell>
          <cell r="K448">
            <v>0</v>
          </cell>
          <cell r="L448" t="str">
            <v>BDO</v>
          </cell>
        </row>
        <row r="449">
          <cell r="F449">
            <v>8814001</v>
          </cell>
          <cell r="G449" t="str">
            <v>Federation</v>
          </cell>
          <cell r="H449" t="str">
            <v>Kemnal Academies Trust</v>
          </cell>
          <cell r="I449" t="str">
            <v>Debden Park High School  (part of The Kemnal Academies Trust)</v>
          </cell>
          <cell r="J449" t="str">
            <v>Southern</v>
          </cell>
          <cell r="K449">
            <v>0</v>
          </cell>
          <cell r="L449" t="str">
            <v>BDO</v>
          </cell>
        </row>
        <row r="450">
          <cell r="F450">
            <v>3032005</v>
          </cell>
          <cell r="G450" t="str">
            <v>Federation</v>
          </cell>
          <cell r="H450" t="str">
            <v>Kemnal Academies Trust</v>
          </cell>
          <cell r="I450" t="str">
            <v>East Wickham Infant School (part of the Kemnal Academies Trust)</v>
          </cell>
          <cell r="J450" t="str">
            <v>Southern</v>
          </cell>
          <cell r="K450">
            <v>0</v>
          </cell>
          <cell r="L450" t="str">
            <v>BDO</v>
          </cell>
        </row>
        <row r="451">
          <cell r="F451">
            <v>3055406</v>
          </cell>
          <cell r="G451" t="str">
            <v>Federation</v>
          </cell>
          <cell r="H451" t="str">
            <v>Kemnal Academies Trust</v>
          </cell>
          <cell r="I451" t="str">
            <v>Kemnal Technology College (part of the Kemnal Academies Trust)</v>
          </cell>
          <cell r="J451" t="str">
            <v>Southern</v>
          </cell>
          <cell r="K451">
            <v>0</v>
          </cell>
          <cell r="L451" t="str">
            <v>BDO</v>
          </cell>
        </row>
        <row r="452">
          <cell r="F452">
            <v>8815415</v>
          </cell>
          <cell r="G452" t="str">
            <v>Federation</v>
          </cell>
          <cell r="H452" t="str">
            <v>Kemnal Academies Trust</v>
          </cell>
          <cell r="I452" t="str">
            <v xml:space="preserve">King Harold School (part of the Kemnal Academies Trust)   </v>
          </cell>
          <cell r="J452" t="str">
            <v>Southern</v>
          </cell>
          <cell r="K452">
            <v>0</v>
          </cell>
          <cell r="L452" t="str">
            <v>BDO</v>
          </cell>
        </row>
        <row r="453">
          <cell r="F453">
            <v>8864031</v>
          </cell>
          <cell r="G453" t="str">
            <v>Federation</v>
          </cell>
          <cell r="H453" t="str">
            <v>Kemnal Academies Trust</v>
          </cell>
          <cell r="I453" t="str">
            <v xml:space="preserve">Orchards Academy - Formally Swanley Tech College (part of the Kemnal Academies Trust) </v>
          </cell>
          <cell r="J453" t="str">
            <v>Southern</v>
          </cell>
          <cell r="K453">
            <v>0</v>
          </cell>
          <cell r="L453" t="str">
            <v>BDO</v>
          </cell>
        </row>
        <row r="454">
          <cell r="F454">
            <v>8874199</v>
          </cell>
          <cell r="G454" t="str">
            <v>Federation</v>
          </cell>
          <cell r="H454" t="str">
            <v>Kemnal Academies Trust</v>
          </cell>
          <cell r="I454" t="str">
            <v xml:space="preserve">Rainham School for Girls (part of the Kemnal Academies Trust) </v>
          </cell>
          <cell r="J454" t="str">
            <v>Southern</v>
          </cell>
          <cell r="K454">
            <v>0</v>
          </cell>
          <cell r="L454" t="str">
            <v>BDO</v>
          </cell>
        </row>
        <row r="455">
          <cell r="F455">
            <v>3034021</v>
          </cell>
          <cell r="G455" t="str">
            <v>Federation</v>
          </cell>
          <cell r="H455" t="str">
            <v>Kemnal Academies Trust</v>
          </cell>
          <cell r="I455" t="str">
            <v>Welling School (part of the Kemnal Academies Trust)</v>
          </cell>
          <cell r="J455" t="str">
            <v>Southern</v>
          </cell>
          <cell r="K455">
            <v>0</v>
          </cell>
          <cell r="L455" t="str">
            <v>BDO</v>
          </cell>
        </row>
        <row r="456">
          <cell r="F456">
            <v>3186905</v>
          </cell>
          <cell r="G456" t="str">
            <v>Federation</v>
          </cell>
          <cell r="H456" t="str">
            <v>Kunskapsskolan</v>
          </cell>
          <cell r="I456" t="str">
            <v>Hampton Academy</v>
          </cell>
          <cell r="J456" t="str">
            <v>Southern</v>
          </cell>
          <cell r="K456">
            <v>0</v>
          </cell>
          <cell r="L456" t="str">
            <v>BDO</v>
          </cell>
        </row>
        <row r="457">
          <cell r="F457">
            <v>9354606</v>
          </cell>
          <cell r="G457" t="str">
            <v>Federation</v>
          </cell>
          <cell r="H457" t="str">
            <v>Kunskapsskolan</v>
          </cell>
          <cell r="I457" t="str">
            <v>Ipswich Academy</v>
          </cell>
          <cell r="J457" t="str">
            <v>Southern</v>
          </cell>
          <cell r="K457">
            <v>0</v>
          </cell>
          <cell r="L457" t="str">
            <v>BDO</v>
          </cell>
        </row>
        <row r="458">
          <cell r="F458">
            <v>3186906</v>
          </cell>
          <cell r="G458" t="str">
            <v>Federation</v>
          </cell>
          <cell r="H458" t="str">
            <v>Kunskapsskolan</v>
          </cell>
          <cell r="I458" t="str">
            <v>Twickenham Academy</v>
          </cell>
          <cell r="J458" t="str">
            <v>Southern</v>
          </cell>
          <cell r="K458">
            <v>0</v>
          </cell>
          <cell r="L458" t="str">
            <v>BDO</v>
          </cell>
        </row>
        <row r="459">
          <cell r="F459">
            <v>8606905</v>
          </cell>
          <cell r="G459" t="str">
            <v>Individual</v>
          </cell>
          <cell r="H459" t="str">
            <v>Landau Forte</v>
          </cell>
          <cell r="I459" t="str">
            <v>Landau Forte Academy</v>
          </cell>
          <cell r="J459" t="str">
            <v>Western</v>
          </cell>
          <cell r="K459">
            <v>0</v>
          </cell>
          <cell r="L459" t="str">
            <v>BDO</v>
          </cell>
        </row>
        <row r="460">
          <cell r="F460">
            <v>8866910</v>
          </cell>
          <cell r="G460" t="str">
            <v>Federation</v>
          </cell>
          <cell r="H460" t="str">
            <v>Leigh Academies Trust</v>
          </cell>
          <cell r="I460" t="str">
            <v>Leigh Technology Academy</v>
          </cell>
          <cell r="J460" t="str">
            <v>Southern</v>
          </cell>
          <cell r="K460">
            <v>0</v>
          </cell>
          <cell r="L460" t="str">
            <v>BDO</v>
          </cell>
        </row>
        <row r="461">
          <cell r="F461">
            <v>8866914</v>
          </cell>
          <cell r="G461" t="str">
            <v>Federation</v>
          </cell>
          <cell r="H461" t="str">
            <v>Leigh Academies Trust</v>
          </cell>
          <cell r="I461" t="str">
            <v>Longfield Academy</v>
          </cell>
          <cell r="J461" t="str">
            <v>Southern</v>
          </cell>
          <cell r="K461">
            <v>0</v>
          </cell>
          <cell r="L461" t="str">
            <v>BDO</v>
          </cell>
        </row>
        <row r="462">
          <cell r="F462">
            <v>8866920</v>
          </cell>
          <cell r="G462" t="str">
            <v>Federation</v>
          </cell>
          <cell r="H462" t="str">
            <v>Leigh Academies Trust</v>
          </cell>
          <cell r="I462" t="str">
            <v>Wilmington Academy</v>
          </cell>
          <cell r="J462" t="str">
            <v>Southern</v>
          </cell>
          <cell r="K462">
            <v>0</v>
          </cell>
          <cell r="L462" t="str">
            <v>BDO</v>
          </cell>
        </row>
        <row r="463">
          <cell r="F463">
            <v>3526911</v>
          </cell>
          <cell r="G463" t="str">
            <v>Federation</v>
          </cell>
          <cell r="H463" t="str">
            <v xml:space="preserve">Manchester Creative and Media Academies </v>
          </cell>
          <cell r="I463" t="str">
            <v>Manchester Creative and Media Academy (Boys)</v>
          </cell>
          <cell r="J463" t="str">
            <v>Northern</v>
          </cell>
          <cell r="K463">
            <v>0</v>
          </cell>
          <cell r="L463" t="str">
            <v>BDO</v>
          </cell>
        </row>
        <row r="464">
          <cell r="F464">
            <v>3526910</v>
          </cell>
          <cell r="G464" t="str">
            <v>Federation</v>
          </cell>
          <cell r="H464" t="str">
            <v xml:space="preserve">Manchester Creative and Media Academies </v>
          </cell>
          <cell r="I464" t="str">
            <v>Manchester Creative and Media Academy (Girls)</v>
          </cell>
          <cell r="J464" t="str">
            <v>Northern</v>
          </cell>
          <cell r="K464">
            <v>0</v>
          </cell>
          <cell r="L464" t="str">
            <v>BDO</v>
          </cell>
        </row>
        <row r="465">
          <cell r="F465">
            <v>8004128</v>
          </cell>
          <cell r="G465" t="str">
            <v>Federation</v>
          </cell>
          <cell r="H465" t="str">
            <v>Midsomer Norton Schools Partnership</v>
          </cell>
          <cell r="I465" t="str">
            <v>Norton Hill School (in federation with Somervale School)</v>
          </cell>
          <cell r="J465" t="str">
            <v>Western</v>
          </cell>
          <cell r="K465">
            <v>0</v>
          </cell>
          <cell r="L465" t="str">
            <v>BDO</v>
          </cell>
        </row>
        <row r="466">
          <cell r="F466">
            <v>8004133</v>
          </cell>
          <cell r="G466" t="str">
            <v>Federation</v>
          </cell>
          <cell r="H466" t="str">
            <v>Midsomer Norton Schools Partnership</v>
          </cell>
          <cell r="I466" t="str">
            <v>Somervale School (in federation with Norton Hill School)</v>
          </cell>
          <cell r="J466" t="str">
            <v>Western</v>
          </cell>
          <cell r="K466">
            <v>0</v>
          </cell>
          <cell r="L466" t="str">
            <v>BDO</v>
          </cell>
        </row>
        <row r="467">
          <cell r="F467">
            <v>8016912</v>
          </cell>
          <cell r="G467" t="str">
            <v>Federation</v>
          </cell>
          <cell r="H467" t="str">
            <v>Oasis</v>
          </cell>
          <cell r="I467" t="str">
            <v>Oasis Academy Brightstowe</v>
          </cell>
          <cell r="J467" t="str">
            <v>Southern</v>
          </cell>
          <cell r="K467">
            <v>0</v>
          </cell>
          <cell r="L467" t="str">
            <v>BDO</v>
          </cell>
        </row>
        <row r="468">
          <cell r="F468">
            <v>3066907</v>
          </cell>
          <cell r="G468" t="str">
            <v>Federation</v>
          </cell>
          <cell r="H468" t="str">
            <v>Oasis</v>
          </cell>
          <cell r="I468" t="str">
            <v>Oasis Academy Coulsdon</v>
          </cell>
          <cell r="J468" t="str">
            <v>Southern</v>
          </cell>
          <cell r="K468">
            <v>0</v>
          </cell>
          <cell r="L468" t="str">
            <v>BDO</v>
          </cell>
        </row>
        <row r="469">
          <cell r="F469">
            <v>3086905</v>
          </cell>
          <cell r="G469" t="str">
            <v>Federation</v>
          </cell>
          <cell r="H469" t="str">
            <v>Oasis</v>
          </cell>
          <cell r="I469" t="str">
            <v>Oasis Academy Enfield</v>
          </cell>
          <cell r="J469" t="str">
            <v>Southern</v>
          </cell>
          <cell r="K469">
            <v>0</v>
          </cell>
          <cell r="L469" t="str">
            <v>BDO</v>
          </cell>
        </row>
        <row r="470">
          <cell r="F470">
            <v>3086906</v>
          </cell>
          <cell r="G470" t="str">
            <v>Federation</v>
          </cell>
          <cell r="H470" t="str">
            <v>Oasis</v>
          </cell>
          <cell r="I470" t="str">
            <v>Oasis Academy Hadley</v>
          </cell>
          <cell r="J470" t="str">
            <v>Southern</v>
          </cell>
          <cell r="K470">
            <v>0</v>
          </cell>
          <cell r="L470" t="str">
            <v>BDO</v>
          </cell>
        </row>
        <row r="471">
          <cell r="F471">
            <v>8126905</v>
          </cell>
          <cell r="G471" t="str">
            <v>Federation</v>
          </cell>
          <cell r="H471" t="str">
            <v>Oasis</v>
          </cell>
          <cell r="I471" t="str">
            <v>Oasis Academy Immingham</v>
          </cell>
          <cell r="J471" t="str">
            <v>Southern</v>
          </cell>
          <cell r="K471">
            <v>0</v>
          </cell>
          <cell r="L471" t="str">
            <v>BDO</v>
          </cell>
        </row>
        <row r="472">
          <cell r="F472">
            <v>8016911</v>
          </cell>
          <cell r="G472" t="str">
            <v>Federation</v>
          </cell>
          <cell r="H472" t="str">
            <v>Oasis</v>
          </cell>
          <cell r="I472" t="str">
            <v>Oasis Academy John Williams</v>
          </cell>
          <cell r="J472" t="str">
            <v>Southern</v>
          </cell>
          <cell r="K472">
            <v>0</v>
          </cell>
          <cell r="L472" t="str">
            <v>BDO</v>
          </cell>
        </row>
        <row r="473">
          <cell r="F473">
            <v>8526905</v>
          </cell>
          <cell r="G473" t="str">
            <v>Federation</v>
          </cell>
          <cell r="H473" t="str">
            <v>Oasis</v>
          </cell>
          <cell r="I473" t="str">
            <v>Oasis Academy Lord's Hill</v>
          </cell>
          <cell r="J473" t="str">
            <v>Southern</v>
          </cell>
          <cell r="K473">
            <v>0</v>
          </cell>
          <cell r="L473" t="str">
            <v>BDO</v>
          </cell>
        </row>
        <row r="474">
          <cell r="F474">
            <v>8526906</v>
          </cell>
          <cell r="G474" t="str">
            <v>Federation</v>
          </cell>
          <cell r="H474" t="str">
            <v>Oasis</v>
          </cell>
          <cell r="I474" t="str">
            <v>Oasis Academy Mayfield</v>
          </cell>
          <cell r="J474" t="str">
            <v>Southern</v>
          </cell>
          <cell r="K474">
            <v>0</v>
          </cell>
          <cell r="L474" t="str">
            <v>BDO</v>
          </cell>
        </row>
        <row r="475">
          <cell r="F475">
            <v>3556906</v>
          </cell>
          <cell r="G475" t="str">
            <v>Federation</v>
          </cell>
          <cell r="H475" t="str">
            <v>Oasis</v>
          </cell>
          <cell r="I475" t="str">
            <v>Oasis Academy MediaCityUK</v>
          </cell>
          <cell r="J475" t="str">
            <v>Southern</v>
          </cell>
          <cell r="K475">
            <v>0</v>
          </cell>
          <cell r="L475" t="str">
            <v>BDO</v>
          </cell>
        </row>
        <row r="476">
          <cell r="F476">
            <v>3536905</v>
          </cell>
          <cell r="G476" t="str">
            <v>Federation</v>
          </cell>
          <cell r="H476" t="str">
            <v>Oasis</v>
          </cell>
          <cell r="I476" t="str">
            <v>Oasis Academy Oldham</v>
          </cell>
          <cell r="J476" t="str">
            <v>Southern</v>
          </cell>
          <cell r="K476">
            <v>0</v>
          </cell>
          <cell r="L476" t="str">
            <v>BDO</v>
          </cell>
        </row>
        <row r="477">
          <cell r="F477">
            <v>3066909</v>
          </cell>
          <cell r="G477" t="str">
            <v>Federation</v>
          </cell>
          <cell r="H477" t="str">
            <v>Oasis</v>
          </cell>
          <cell r="I477" t="str">
            <v>Oasis Academy Shirley Park</v>
          </cell>
          <cell r="J477" t="str">
            <v>Southern</v>
          </cell>
          <cell r="K477">
            <v>0</v>
          </cell>
          <cell r="L477" t="str">
            <v>BDO</v>
          </cell>
        </row>
        <row r="478">
          <cell r="F478">
            <v>8126906</v>
          </cell>
          <cell r="G478" t="str">
            <v>Federation</v>
          </cell>
          <cell r="H478" t="str">
            <v>Oasis</v>
          </cell>
          <cell r="I478" t="str">
            <v>Oasis Academy Wintringham</v>
          </cell>
          <cell r="J478" t="str">
            <v>Southern</v>
          </cell>
          <cell r="K478">
            <v>0</v>
          </cell>
          <cell r="L478" t="str">
            <v>BDO</v>
          </cell>
        </row>
        <row r="479">
          <cell r="F479">
            <v>8766905</v>
          </cell>
          <cell r="G479" t="str">
            <v>Individual</v>
          </cell>
          <cell r="H479">
            <v>0</v>
          </cell>
          <cell r="I479" t="str">
            <v>Ormiston Bolingbroke Academy</v>
          </cell>
          <cell r="J479" t="str">
            <v>Western</v>
          </cell>
          <cell r="K479">
            <v>0</v>
          </cell>
          <cell r="L479" t="str">
            <v>BDO</v>
          </cell>
        </row>
        <row r="480">
          <cell r="F480">
            <v>8746906</v>
          </cell>
          <cell r="G480" t="str">
            <v>Federation</v>
          </cell>
          <cell r="H480" t="str">
            <v>Ormiston</v>
          </cell>
          <cell r="I480" t="str">
            <v>Ormiston Bushfield Academy</v>
          </cell>
          <cell r="J480" t="str">
            <v>Western</v>
          </cell>
          <cell r="K480">
            <v>0</v>
          </cell>
          <cell r="L480" t="str">
            <v>BDO</v>
          </cell>
        </row>
        <row r="481">
          <cell r="F481">
            <v>8836906</v>
          </cell>
          <cell r="G481" t="str">
            <v>Federation</v>
          </cell>
          <cell r="H481" t="str">
            <v>Ormiston</v>
          </cell>
          <cell r="I481" t="str">
            <v>Ormiston Park Academy</v>
          </cell>
          <cell r="J481" t="str">
            <v>Western</v>
          </cell>
          <cell r="K481">
            <v>0</v>
          </cell>
          <cell r="L481" t="str">
            <v>BDO</v>
          </cell>
        </row>
        <row r="482">
          <cell r="F482">
            <v>3336910</v>
          </cell>
          <cell r="G482" t="str">
            <v>Federation</v>
          </cell>
          <cell r="H482" t="str">
            <v>Ormiston</v>
          </cell>
          <cell r="I482" t="str">
            <v>Ormiston Sandwell Community Academy</v>
          </cell>
          <cell r="J482" t="str">
            <v>Western</v>
          </cell>
          <cell r="K482">
            <v>0</v>
          </cell>
          <cell r="L482" t="str">
            <v>BDO</v>
          </cell>
        </row>
        <row r="483">
          <cell r="F483">
            <v>8616906</v>
          </cell>
          <cell r="G483" t="str">
            <v>Federation</v>
          </cell>
          <cell r="H483" t="str">
            <v>Ormiston</v>
          </cell>
          <cell r="I483" t="str">
            <v>Ormiston Sir Stanley Matthews Academy (OSSMA)</v>
          </cell>
          <cell r="J483" t="str">
            <v>Western</v>
          </cell>
          <cell r="K483">
            <v>0</v>
          </cell>
          <cell r="L483" t="str">
            <v>BDO</v>
          </cell>
        </row>
        <row r="484">
          <cell r="F484">
            <v>9266908</v>
          </cell>
          <cell r="G484" t="str">
            <v>Federation</v>
          </cell>
          <cell r="H484" t="str">
            <v>Ormiston</v>
          </cell>
          <cell r="I484" t="str">
            <v>Ormiston Venture Academy</v>
          </cell>
          <cell r="J484" t="str">
            <v>Western</v>
          </cell>
          <cell r="K484">
            <v>0</v>
          </cell>
          <cell r="L484" t="str">
            <v>BDO</v>
          </cell>
        </row>
        <row r="485">
          <cell r="F485">
            <v>9266907</v>
          </cell>
          <cell r="G485" t="str">
            <v>Federation</v>
          </cell>
          <cell r="H485" t="str">
            <v>Ormiston</v>
          </cell>
          <cell r="I485" t="str">
            <v>Ormiston Victory Academy</v>
          </cell>
          <cell r="J485" t="str">
            <v>Western</v>
          </cell>
          <cell r="K485">
            <v>0</v>
          </cell>
          <cell r="L485" t="str">
            <v>BDO</v>
          </cell>
        </row>
        <row r="486">
          <cell r="F486">
            <v>3716907</v>
          </cell>
          <cell r="G486" t="str">
            <v>Federation</v>
          </cell>
          <cell r="H486" t="str">
            <v>Outward Grange Academies Trust</v>
          </cell>
          <cell r="I486" t="str">
            <v>Outwood Academy, Adwick</v>
          </cell>
          <cell r="J486" t="str">
            <v>Northern</v>
          </cell>
          <cell r="K486">
            <v>0</v>
          </cell>
          <cell r="L486" t="str">
            <v>BDO</v>
          </cell>
        </row>
        <row r="487">
          <cell r="F487">
            <v>3846905</v>
          </cell>
          <cell r="G487" t="str">
            <v>Federation</v>
          </cell>
          <cell r="H487" t="str">
            <v>Outward Grange Academies Trust</v>
          </cell>
          <cell r="I487" t="str">
            <v>Outwood Grange Academy</v>
          </cell>
          <cell r="J487" t="str">
            <v>Northern</v>
          </cell>
          <cell r="K487">
            <v>0</v>
          </cell>
          <cell r="L487" t="str">
            <v>BDO</v>
          </cell>
        </row>
        <row r="488">
          <cell r="F488">
            <v>8154203</v>
          </cell>
          <cell r="G488" t="str">
            <v>Federation</v>
          </cell>
          <cell r="H488" t="str">
            <v>Outward Grange Academies Trust</v>
          </cell>
          <cell r="I488" t="str">
            <v>Ripon College</v>
          </cell>
          <cell r="J488" t="str">
            <v>Northern</v>
          </cell>
          <cell r="K488">
            <v>0</v>
          </cell>
          <cell r="L488" t="str">
            <v>BDO</v>
          </cell>
        </row>
        <row r="489">
          <cell r="F489">
            <v>3063419</v>
          </cell>
          <cell r="G489" t="str">
            <v>Federation</v>
          </cell>
          <cell r="H489" t="str">
            <v>Pegasus Academy Trust</v>
          </cell>
          <cell r="I489" t="str">
            <v>Ecclesbourne Primary School (in chain with Whitehorse Manor Junior and Infant Schools)</v>
          </cell>
          <cell r="J489" t="str">
            <v>Southern</v>
          </cell>
          <cell r="K489">
            <v>0</v>
          </cell>
          <cell r="L489" t="str">
            <v>BDO</v>
          </cell>
        </row>
        <row r="490">
          <cell r="F490">
            <v>3062048</v>
          </cell>
          <cell r="G490" t="str">
            <v>Federation</v>
          </cell>
          <cell r="H490" t="str">
            <v>Pegasus Academy Trust</v>
          </cell>
          <cell r="I490" t="str">
            <v>Whitehorse Manor Infant School (in chain with Whitehorse Manor Junior School and Ecclesbourne Primary School)</v>
          </cell>
          <cell r="J490" t="str">
            <v>Southern</v>
          </cell>
          <cell r="K490">
            <v>0</v>
          </cell>
          <cell r="L490" t="str">
            <v>BDO</v>
          </cell>
        </row>
        <row r="491">
          <cell r="F491">
            <v>3062047</v>
          </cell>
          <cell r="G491" t="str">
            <v>Federation</v>
          </cell>
          <cell r="H491" t="str">
            <v>Pegasus Academy Trust</v>
          </cell>
          <cell r="I491" t="str">
            <v>Whitehorse Manor Junior School (in chain with Whitehorse Manor Infant School and Ecclesbourne Primary School)</v>
          </cell>
          <cell r="J491" t="str">
            <v>Southern</v>
          </cell>
          <cell r="K491">
            <v>0</v>
          </cell>
          <cell r="L491" t="str">
            <v>BDO</v>
          </cell>
        </row>
        <row r="492">
          <cell r="F492">
            <v>9256906</v>
          </cell>
          <cell r="G492">
            <v>0</v>
          </cell>
          <cell r="H492" t="str">
            <v>Priory</v>
          </cell>
          <cell r="I492" t="str">
            <v>Priory City of Lincoln Academy</v>
          </cell>
          <cell r="J492" t="str">
            <v>Eastern</v>
          </cell>
          <cell r="K492">
            <v>0</v>
          </cell>
          <cell r="L492" t="str">
            <v>BDO</v>
          </cell>
        </row>
        <row r="493">
          <cell r="F493">
            <v>9256905</v>
          </cell>
          <cell r="G493">
            <v>0</v>
          </cell>
          <cell r="H493" t="str">
            <v>Priory</v>
          </cell>
          <cell r="I493" t="str">
            <v>Priory Witham Academy</v>
          </cell>
          <cell r="J493" t="str">
            <v>Eastern</v>
          </cell>
          <cell r="K493">
            <v>0</v>
          </cell>
          <cell r="L493" t="str">
            <v>BDO</v>
          </cell>
        </row>
        <row r="494">
          <cell r="F494">
            <v>9256907</v>
          </cell>
          <cell r="G494">
            <v>0</v>
          </cell>
          <cell r="H494" t="str">
            <v>Priory</v>
          </cell>
          <cell r="I494" t="str">
            <v>The Priory Academy LSST</v>
          </cell>
          <cell r="J494" t="str">
            <v>Eastern</v>
          </cell>
          <cell r="K494">
            <v>0</v>
          </cell>
          <cell r="L494" t="str">
            <v>BDO</v>
          </cell>
        </row>
        <row r="495">
          <cell r="F495">
            <v>9256910</v>
          </cell>
          <cell r="G495">
            <v>0</v>
          </cell>
          <cell r="H495" t="str">
            <v>Priory</v>
          </cell>
          <cell r="I495" t="str">
            <v>The Priory Ruskin Academy</v>
          </cell>
          <cell r="J495" t="str">
            <v>Eastern</v>
          </cell>
          <cell r="K495">
            <v>0</v>
          </cell>
          <cell r="L495" t="str">
            <v>BDO</v>
          </cell>
        </row>
        <row r="496">
          <cell r="F496">
            <v>9096906</v>
          </cell>
          <cell r="G496" t="str">
            <v>Federation</v>
          </cell>
          <cell r="H496" t="str">
            <v xml:space="preserve">Richard Rose Federation </v>
          </cell>
          <cell r="I496" t="str">
            <v>Richard Rose Central Academy</v>
          </cell>
          <cell r="J496" t="str">
            <v>Northern</v>
          </cell>
          <cell r="K496">
            <v>0</v>
          </cell>
          <cell r="L496" t="str">
            <v>BDO</v>
          </cell>
        </row>
        <row r="497">
          <cell r="F497">
            <v>9096905</v>
          </cell>
          <cell r="G497" t="str">
            <v>Federation</v>
          </cell>
          <cell r="H497" t="str">
            <v xml:space="preserve">Richard Rose Federation </v>
          </cell>
          <cell r="I497" t="str">
            <v>Richard Rose Morton Academy</v>
          </cell>
          <cell r="J497" t="str">
            <v>Northern</v>
          </cell>
          <cell r="K497">
            <v>0</v>
          </cell>
          <cell r="L497" t="str">
            <v>BDO</v>
          </cell>
        </row>
        <row r="498">
          <cell r="F498">
            <v>8036908</v>
          </cell>
          <cell r="G498" t="str">
            <v>Federation</v>
          </cell>
          <cell r="H498" t="str">
            <v>Ridings Federation of Academies</v>
          </cell>
          <cell r="I498" t="str">
            <v>The Ridings' Federation, Winterborne International Academy</v>
          </cell>
          <cell r="J498" t="str">
            <v>Western</v>
          </cell>
          <cell r="K498">
            <v>0</v>
          </cell>
          <cell r="L498" t="str">
            <v>BDO</v>
          </cell>
        </row>
        <row r="499">
          <cell r="F499">
            <v>8036907</v>
          </cell>
          <cell r="G499" t="str">
            <v>Federation</v>
          </cell>
          <cell r="H499" t="str">
            <v>Ridings Federation of Academies</v>
          </cell>
          <cell r="I499" t="str">
            <v>The Ridings' Federation, Yate International Academy</v>
          </cell>
          <cell r="J499" t="str">
            <v>Western</v>
          </cell>
          <cell r="K499">
            <v>0</v>
          </cell>
          <cell r="L499" t="str">
            <v>BDO</v>
          </cell>
        </row>
        <row r="500">
          <cell r="F500">
            <v>3834112</v>
          </cell>
          <cell r="G500" t="str">
            <v>Federation</v>
          </cell>
          <cell r="H500" t="str">
            <v>School Partnership Trust Academies</v>
          </cell>
          <cell r="I500" t="str">
            <v>Garforth Community College</v>
          </cell>
          <cell r="J500" t="str">
            <v>Northern</v>
          </cell>
          <cell r="K500">
            <v>0</v>
          </cell>
          <cell r="L500" t="str">
            <v>BDO</v>
          </cell>
        </row>
        <row r="501">
          <cell r="F501">
            <v>3832396</v>
          </cell>
          <cell r="G501" t="str">
            <v>Federation</v>
          </cell>
          <cell r="H501" t="str">
            <v>School Partnership Trust Academies</v>
          </cell>
          <cell r="I501" t="str">
            <v>Garforth Green Lane Primary Academy</v>
          </cell>
          <cell r="J501" t="str">
            <v>Northern</v>
          </cell>
          <cell r="K501">
            <v>0</v>
          </cell>
          <cell r="L501" t="str">
            <v>BDO</v>
          </cell>
        </row>
        <row r="502">
          <cell r="F502">
            <v>3714608</v>
          </cell>
          <cell r="G502" t="str">
            <v>Federation</v>
          </cell>
          <cell r="H502" t="str">
            <v>School Partnership Trust Academies</v>
          </cell>
          <cell r="I502" t="str">
            <v xml:space="preserve">Rossington All Saints Academy </v>
          </cell>
          <cell r="J502" t="str">
            <v>Northern</v>
          </cell>
          <cell r="K502">
            <v>0</v>
          </cell>
          <cell r="L502" t="str">
            <v>BDO</v>
          </cell>
        </row>
        <row r="503">
          <cell r="F503">
            <v>8783774</v>
          </cell>
          <cell r="G503" t="str">
            <v>Federation</v>
          </cell>
          <cell r="H503" t="str">
            <v xml:space="preserve">Teignmouth Learning Trust </v>
          </cell>
          <cell r="I503" t="str">
            <v xml:space="preserve">Inverteign Community Nursery and Primary School </v>
          </cell>
          <cell r="J503" t="str">
            <v>Western</v>
          </cell>
          <cell r="K503">
            <v>0</v>
          </cell>
          <cell r="L503" t="str">
            <v>BDO</v>
          </cell>
        </row>
        <row r="504">
          <cell r="F504">
            <v>8784120</v>
          </cell>
          <cell r="G504" t="str">
            <v>Federation</v>
          </cell>
          <cell r="H504" t="str">
            <v xml:space="preserve">Teignmouth Learning Trust </v>
          </cell>
          <cell r="I504" t="str">
            <v xml:space="preserve">Teignmouth Community College </v>
          </cell>
          <cell r="J504" t="str">
            <v>Western</v>
          </cell>
          <cell r="K504">
            <v>0</v>
          </cell>
          <cell r="L504" t="str">
            <v>BDO</v>
          </cell>
        </row>
        <row r="505">
          <cell r="F505">
            <v>8784112</v>
          </cell>
          <cell r="G505" t="str">
            <v>Federation</v>
          </cell>
          <cell r="H505" t="str">
            <v xml:space="preserve">Templer Academy Trust </v>
          </cell>
          <cell r="I505" t="str">
            <v>Coombeshead College</v>
          </cell>
          <cell r="J505" t="str">
            <v>Western</v>
          </cell>
          <cell r="K505">
            <v>0</v>
          </cell>
          <cell r="L505" t="str">
            <v>BDO</v>
          </cell>
        </row>
        <row r="506">
          <cell r="F506">
            <v>8785402</v>
          </cell>
          <cell r="G506" t="str">
            <v>Federation</v>
          </cell>
          <cell r="H506" t="str">
            <v xml:space="preserve">Templer Academy Trust </v>
          </cell>
          <cell r="I506" t="str">
            <v>Teign School</v>
          </cell>
          <cell r="J506" t="str">
            <v>Western</v>
          </cell>
          <cell r="K506">
            <v>0</v>
          </cell>
          <cell r="L506" t="str">
            <v>BDO</v>
          </cell>
        </row>
        <row r="507">
          <cell r="F507">
            <v>8865421</v>
          </cell>
          <cell r="G507" t="str">
            <v>Federation</v>
          </cell>
          <cell r="H507" t="str">
            <v>The Canterbury Academy</v>
          </cell>
          <cell r="I507" t="str">
            <v>The Canterbury Academy (in federation with The Canterbury Primary School)</v>
          </cell>
          <cell r="J507" t="str">
            <v>Southern</v>
          </cell>
          <cell r="K507">
            <v>0</v>
          </cell>
          <cell r="L507" t="str">
            <v>BDO</v>
          </cell>
        </row>
        <row r="508">
          <cell r="F508">
            <v>8862654</v>
          </cell>
          <cell r="G508" t="str">
            <v>Federation</v>
          </cell>
          <cell r="H508" t="str">
            <v>The Canterbury Academy</v>
          </cell>
          <cell r="I508" t="str">
            <v>The Canterbury Primary School (in federation with The Canterbury High School)</v>
          </cell>
          <cell r="J508" t="str">
            <v>Southern</v>
          </cell>
          <cell r="K508">
            <v>0</v>
          </cell>
          <cell r="L508" t="str">
            <v>BDO</v>
          </cell>
        </row>
        <row r="509">
          <cell r="F509">
            <v>9376905</v>
          </cell>
          <cell r="G509" t="str">
            <v>Individual</v>
          </cell>
          <cell r="H509" t="str">
            <v xml:space="preserve">The Midlands Academies Trust </v>
          </cell>
          <cell r="I509" t="str">
            <v>Nuneaton Academy</v>
          </cell>
          <cell r="J509" t="str">
            <v>Western</v>
          </cell>
          <cell r="K509">
            <v>0</v>
          </cell>
          <cell r="L509" t="str">
            <v>BDO</v>
          </cell>
        </row>
        <row r="510">
          <cell r="F510">
            <v>8886905</v>
          </cell>
          <cell r="G510" t="str">
            <v>Federation</v>
          </cell>
          <cell r="H510" t="str">
            <v>ULT</v>
          </cell>
          <cell r="I510" t="str">
            <v>Accrington Academy (ULT)</v>
          </cell>
          <cell r="J510" t="str">
            <v>Southern</v>
          </cell>
          <cell r="K510">
            <v>0</v>
          </cell>
          <cell r="L510" t="str">
            <v>BDO</v>
          </cell>
        </row>
        <row r="511">
          <cell r="F511">
            <v>3706905</v>
          </cell>
          <cell r="G511" t="str">
            <v>Federation</v>
          </cell>
          <cell r="H511" t="str">
            <v>ULT</v>
          </cell>
          <cell r="I511" t="str">
            <v>Barnsley Academy (ULT)</v>
          </cell>
          <cell r="J511" t="str">
            <v>Southern</v>
          </cell>
          <cell r="K511">
            <v>0</v>
          </cell>
          <cell r="L511" t="str">
            <v>BDO</v>
          </cell>
        </row>
        <row r="512">
          <cell r="F512">
            <v>9286908</v>
          </cell>
          <cell r="G512" t="str">
            <v>Federation</v>
          </cell>
          <cell r="H512" t="str">
            <v>ULT</v>
          </cell>
          <cell r="I512" t="str">
            <v>Kettering Buccleuch Academy (ULT)</v>
          </cell>
          <cell r="J512" t="str">
            <v>Southern</v>
          </cell>
          <cell r="K512">
            <v>0</v>
          </cell>
          <cell r="L512" t="str">
            <v>BDO</v>
          </cell>
        </row>
        <row r="513">
          <cell r="F513">
            <v>2086905</v>
          </cell>
          <cell r="G513" t="str">
            <v>Federation</v>
          </cell>
          <cell r="H513" t="str">
            <v>ULT</v>
          </cell>
          <cell r="I513" t="str">
            <v>Lambeth Academy (ULT)</v>
          </cell>
          <cell r="J513" t="str">
            <v>Southern</v>
          </cell>
          <cell r="K513">
            <v>0</v>
          </cell>
          <cell r="L513" t="str">
            <v>BDO</v>
          </cell>
        </row>
        <row r="514">
          <cell r="F514">
            <v>3526905</v>
          </cell>
          <cell r="G514" t="str">
            <v>Federation</v>
          </cell>
          <cell r="H514" t="str">
            <v>ULT</v>
          </cell>
          <cell r="I514" t="str">
            <v>Manchester Academy (ULT)</v>
          </cell>
          <cell r="J514" t="str">
            <v>Southern</v>
          </cell>
          <cell r="K514">
            <v>0</v>
          </cell>
          <cell r="L514" t="str">
            <v>BDO</v>
          </cell>
        </row>
        <row r="515">
          <cell r="F515">
            <v>9386913</v>
          </cell>
          <cell r="G515" t="str">
            <v>Federation</v>
          </cell>
          <cell r="H515" t="str">
            <v>ULT</v>
          </cell>
          <cell r="I515" t="str">
            <v>Midhurst Rother College (ULT)</v>
          </cell>
          <cell r="J515" t="str">
            <v>Southern</v>
          </cell>
          <cell r="K515">
            <v>0</v>
          </cell>
          <cell r="L515" t="str">
            <v>BDO</v>
          </cell>
        </row>
        <row r="516">
          <cell r="F516">
            <v>9316905</v>
          </cell>
          <cell r="G516" t="str">
            <v>Federation</v>
          </cell>
          <cell r="H516" t="str">
            <v>ULT</v>
          </cell>
          <cell r="I516" t="str">
            <v>North Oxfordshire Academy (ULT)</v>
          </cell>
          <cell r="J516" t="str">
            <v>Southern</v>
          </cell>
          <cell r="K516">
            <v>0</v>
          </cell>
          <cell r="L516" t="str">
            <v>BDO</v>
          </cell>
        </row>
        <row r="517">
          <cell r="F517">
            <v>9286905</v>
          </cell>
          <cell r="G517" t="str">
            <v>Federation</v>
          </cell>
          <cell r="H517" t="str">
            <v>ULT</v>
          </cell>
          <cell r="I517" t="str">
            <v>Northampton Academy (ULT)</v>
          </cell>
          <cell r="J517" t="str">
            <v>Southern</v>
          </cell>
          <cell r="K517">
            <v>0</v>
          </cell>
          <cell r="L517" t="str">
            <v>BDO</v>
          </cell>
        </row>
        <row r="518">
          <cell r="F518">
            <v>2136905</v>
          </cell>
          <cell r="G518" t="str">
            <v>Federation</v>
          </cell>
          <cell r="H518" t="str">
            <v>ULT</v>
          </cell>
          <cell r="I518" t="str">
            <v>Paddington Academy (ULT)</v>
          </cell>
          <cell r="J518" t="str">
            <v>Southern</v>
          </cell>
          <cell r="K518">
            <v>0</v>
          </cell>
          <cell r="L518" t="str">
            <v>BDO</v>
          </cell>
        </row>
        <row r="519">
          <cell r="F519">
            <v>9384005</v>
          </cell>
          <cell r="G519" t="str">
            <v>Federation</v>
          </cell>
          <cell r="H519" t="str">
            <v>ULT</v>
          </cell>
          <cell r="I519" t="str">
            <v>Regis School</v>
          </cell>
          <cell r="J519" t="str">
            <v>Southern</v>
          </cell>
          <cell r="K519">
            <v>0</v>
          </cell>
          <cell r="L519" t="str">
            <v>BDO</v>
          </cell>
        </row>
        <row r="520">
          <cell r="F520">
            <v>3556905</v>
          </cell>
          <cell r="G520" t="str">
            <v>Federation</v>
          </cell>
          <cell r="H520" t="str">
            <v>ULT</v>
          </cell>
          <cell r="I520" t="str">
            <v>Salford City Academy (ULT)</v>
          </cell>
          <cell r="J520" t="str">
            <v>Southern</v>
          </cell>
          <cell r="K520">
            <v>0</v>
          </cell>
          <cell r="L520" t="str">
            <v>BDO</v>
          </cell>
        </row>
        <row r="521">
          <cell r="F521">
            <v>3736905</v>
          </cell>
          <cell r="G521" t="str">
            <v>Federation</v>
          </cell>
          <cell r="H521" t="str">
            <v>ULT</v>
          </cell>
          <cell r="I521" t="str">
            <v>Sheffield Park Academy (ULT)</v>
          </cell>
          <cell r="J521" t="str">
            <v>Southern</v>
          </cell>
          <cell r="K521">
            <v>0</v>
          </cell>
          <cell r="L521" t="str">
            <v>BDO</v>
          </cell>
        </row>
        <row r="522">
          <cell r="F522">
            <v>3736906</v>
          </cell>
          <cell r="G522" t="str">
            <v>Federation</v>
          </cell>
          <cell r="H522" t="str">
            <v>ULT</v>
          </cell>
          <cell r="I522" t="str">
            <v>Sheffield Springs Academy (ULT)</v>
          </cell>
          <cell r="J522" t="str">
            <v>Southern</v>
          </cell>
          <cell r="K522">
            <v>0</v>
          </cell>
          <cell r="L522" t="str">
            <v>BDO</v>
          </cell>
        </row>
        <row r="523">
          <cell r="F523">
            <v>9386914</v>
          </cell>
          <cell r="G523" t="str">
            <v>Federation</v>
          </cell>
          <cell r="H523" t="str">
            <v>ULT</v>
          </cell>
          <cell r="I523" t="str">
            <v>Shoreham Academy (ULT)</v>
          </cell>
          <cell r="J523" t="str">
            <v>Southern</v>
          </cell>
          <cell r="K523">
            <v>0</v>
          </cell>
          <cell r="L523" t="str">
            <v>BDO</v>
          </cell>
        </row>
        <row r="524">
          <cell r="F524">
            <v>3566905</v>
          </cell>
          <cell r="G524" t="str">
            <v>Federation</v>
          </cell>
          <cell r="H524" t="str">
            <v>ULT</v>
          </cell>
          <cell r="I524" t="str">
            <v>Stockport Academy (ULT)</v>
          </cell>
          <cell r="J524" t="str">
            <v>Southern</v>
          </cell>
          <cell r="K524">
            <v>0</v>
          </cell>
          <cell r="L524" t="str">
            <v>BDO</v>
          </cell>
        </row>
        <row r="525">
          <cell r="F525">
            <v>8666905</v>
          </cell>
          <cell r="G525" t="str">
            <v>Federation</v>
          </cell>
          <cell r="H525" t="str">
            <v>ULT</v>
          </cell>
          <cell r="I525" t="str">
            <v>Swindon Academy (ULT)</v>
          </cell>
          <cell r="J525" t="str">
            <v>Southern</v>
          </cell>
          <cell r="K525">
            <v>0</v>
          </cell>
          <cell r="L525" t="str">
            <v>BDO</v>
          </cell>
        </row>
        <row r="526">
          <cell r="F526">
            <v>3206905</v>
          </cell>
          <cell r="G526" t="str">
            <v>Federation</v>
          </cell>
          <cell r="H526" t="str">
            <v>ULT</v>
          </cell>
          <cell r="I526" t="str">
            <v>Walthamstow Academy (ULT)</v>
          </cell>
          <cell r="J526" t="str">
            <v>Southern</v>
          </cell>
          <cell r="K526">
            <v>0</v>
          </cell>
          <cell r="L526" t="str">
            <v>BDO</v>
          </cell>
        </row>
        <row r="527">
          <cell r="F527">
            <v>3526907</v>
          </cell>
          <cell r="G527" t="str">
            <v>Federation</v>
          </cell>
          <cell r="H527" t="str">
            <v>ULT</v>
          </cell>
          <cell r="I527" t="str">
            <v>William Hulme's Grammar School (ULT)</v>
          </cell>
          <cell r="J527" t="str">
            <v>Southern</v>
          </cell>
          <cell r="K527">
            <v>0</v>
          </cell>
          <cell r="L527" t="str">
            <v>BDO</v>
          </cell>
        </row>
        <row r="528">
          <cell r="F528">
            <v>9254017</v>
          </cell>
          <cell r="G528">
            <v>0</v>
          </cell>
          <cell r="H528" t="str">
            <v>West Grantham Academies Trust</v>
          </cell>
          <cell r="I528" t="str">
            <v>The Charles Read Academy (part of The West Grantham Academies Trust)</v>
          </cell>
          <cell r="J528" t="str">
            <v>Eastern</v>
          </cell>
          <cell r="K528">
            <v>0</v>
          </cell>
          <cell r="L528" t="str">
            <v>BDO</v>
          </cell>
        </row>
        <row r="529">
          <cell r="F529">
            <v>9255230</v>
          </cell>
          <cell r="G529">
            <v>0</v>
          </cell>
          <cell r="H529" t="str">
            <v>West Grantham Academies Trust</v>
          </cell>
          <cell r="I529" t="str">
            <v>The West Grantham Academy Earl of Dysart (part of The West Grantham Academies Trust)</v>
          </cell>
          <cell r="J529" t="str">
            <v>Eastern</v>
          </cell>
          <cell r="K529">
            <v>0</v>
          </cell>
          <cell r="L529" t="str">
            <v>BDO</v>
          </cell>
        </row>
        <row r="530">
          <cell r="F530">
            <v>9253027</v>
          </cell>
          <cell r="G530">
            <v>0</v>
          </cell>
          <cell r="H530" t="str">
            <v>West Grantham Academies Trust</v>
          </cell>
          <cell r="I530" t="str">
            <v>The West Grantham Academy Spitalgate (part of The West Grantham Academies Trust)</v>
          </cell>
          <cell r="J530" t="str">
            <v>Eastern</v>
          </cell>
          <cell r="K530">
            <v>0</v>
          </cell>
          <cell r="L530" t="str">
            <v>BDO</v>
          </cell>
        </row>
        <row r="531">
          <cell r="F531">
            <v>9255422</v>
          </cell>
          <cell r="G531">
            <v>0</v>
          </cell>
          <cell r="H531" t="str">
            <v>West Grantham Academies Trust</v>
          </cell>
          <cell r="I531" t="str">
            <v>The West Grantham Academy St Hugh’s (part of The West Grantham Academies Trust)</v>
          </cell>
          <cell r="J531" t="str">
            <v>Eastern</v>
          </cell>
          <cell r="K531">
            <v>0</v>
          </cell>
          <cell r="L531" t="str">
            <v>BDO</v>
          </cell>
        </row>
        <row r="532">
          <cell r="F532">
            <v>8865434</v>
          </cell>
          <cell r="G532" t="str">
            <v>Federation</v>
          </cell>
          <cell r="H532" t="str">
            <v>Westlands Academies Trust</v>
          </cell>
          <cell r="I532" t="str">
            <v>The Westlands School (in federation with Westlands Primary School)</v>
          </cell>
          <cell r="J532" t="str">
            <v>Southern</v>
          </cell>
          <cell r="K532">
            <v>0</v>
          </cell>
          <cell r="L532" t="str">
            <v>BDO</v>
          </cell>
        </row>
        <row r="533">
          <cell r="F533">
            <v>8863912</v>
          </cell>
          <cell r="G533" t="str">
            <v>Federation</v>
          </cell>
          <cell r="H533" t="str">
            <v>Westlands Academies Trust</v>
          </cell>
          <cell r="I533" t="str">
            <v>Westlands Primary School (in federation with The Westlands School)</v>
          </cell>
          <cell r="J533" t="str">
            <v>Southern</v>
          </cell>
          <cell r="K533">
            <v>0</v>
          </cell>
          <cell r="L533" t="str">
            <v>BDO</v>
          </cell>
        </row>
        <row r="534">
          <cell r="F534">
            <v>8844046</v>
          </cell>
          <cell r="G534" t="str">
            <v>Federation</v>
          </cell>
          <cell r="H534" t="str">
            <v>Wigmore Trust</v>
          </cell>
          <cell r="I534" t="str">
            <v>Wigmore High School (in federation with Wigmore Primary School)</v>
          </cell>
          <cell r="J534" t="str">
            <v>Western</v>
          </cell>
          <cell r="K534">
            <v>0</v>
          </cell>
          <cell r="L534" t="str">
            <v>BDO</v>
          </cell>
        </row>
        <row r="535">
          <cell r="F535">
            <v>8842159</v>
          </cell>
          <cell r="G535" t="str">
            <v>Federation</v>
          </cell>
          <cell r="H535" t="str">
            <v>Wigmore Trust</v>
          </cell>
          <cell r="I535" t="str">
            <v>Wigmore Primary School (in federation with Wigmore High School)</v>
          </cell>
          <cell r="J535" t="str">
            <v>Western</v>
          </cell>
          <cell r="K535">
            <v>0</v>
          </cell>
          <cell r="L535" t="str">
            <v>BDO</v>
          </cell>
        </row>
        <row r="536">
          <cell r="F536">
            <v>9386912</v>
          </cell>
          <cell r="G536" t="str">
            <v>Federation</v>
          </cell>
          <cell r="H536" t="str">
            <v xml:space="preserve">Woodard </v>
          </cell>
          <cell r="I536" t="str">
            <v>The Littlehampton Academy</v>
          </cell>
          <cell r="J536" t="str">
            <v>Southern</v>
          </cell>
          <cell r="K536">
            <v>0</v>
          </cell>
          <cell r="L536" t="str">
            <v>BDO</v>
          </cell>
        </row>
        <row r="537">
          <cell r="F537">
            <v>9386911</v>
          </cell>
          <cell r="G537" t="str">
            <v>Federation</v>
          </cell>
          <cell r="H537" t="str">
            <v xml:space="preserve">Woodard </v>
          </cell>
          <cell r="I537" t="str">
            <v>The Sir Robert Woodard Academy</v>
          </cell>
          <cell r="J537" t="str">
            <v>Southern</v>
          </cell>
          <cell r="K537">
            <v>0</v>
          </cell>
          <cell r="L537" t="str">
            <v>BDO</v>
          </cell>
        </row>
      </sheetData>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iations"/>
      <sheetName val="Change log"/>
      <sheetName val="Alphabetical"/>
      <sheetName val="Populations"/>
      <sheetName val="Companies"/>
      <sheetName val="MATs"/>
      <sheetName val="Chart1"/>
      <sheetName val="Chart2"/>
      <sheetName val="Chart3"/>
      <sheetName val="Reference"/>
      <sheetName val="Lookupsd"/>
    </sheetNames>
    <sheetDataSet>
      <sheetData sheetId="0"/>
      <sheetData sheetId="1"/>
      <sheetData sheetId="2"/>
      <sheetData sheetId="3"/>
      <sheetData sheetId="4"/>
      <sheetData sheetId="5"/>
      <sheetData sheetId="6"/>
      <sheetData sheetId="7"/>
      <sheetData sheetId="8"/>
      <sheetData sheetId="9"/>
      <sheetData sheetId="10">
        <row r="4">
          <cell r="D4" t="str">
            <v>Taxonomy</v>
          </cell>
        </row>
        <row r="5">
          <cell r="D5" t="str">
            <v>Taxonomy &amp; location suffix</v>
          </cell>
        </row>
        <row r="6">
          <cell r="D6" t="str">
            <v>Taxonomy &amp; name change</v>
          </cell>
        </row>
        <row r="7">
          <cell r="D7" t="str">
            <v>Taxonomy, location suffix &amp; name change</v>
          </cell>
        </row>
        <row r="8">
          <cell r="D8" t="str">
            <v>Taxonomy, location suffix and school./academy</v>
          </cell>
        </row>
        <row r="9">
          <cell r="D9" t="str">
            <v>Location suffix</v>
          </cell>
        </row>
        <row r="10">
          <cell r="D10" t="str">
            <v>'School'/'academy' swap</v>
          </cell>
        </row>
        <row r="11">
          <cell r="D11" t="str">
            <v>'School'/'academy' swap &amp; location suffix</v>
          </cell>
        </row>
        <row r="12">
          <cell r="D12" t="str">
            <v>MAT prefix/suffix</v>
          </cell>
        </row>
        <row r="13">
          <cell r="D13" t="str">
            <v>Name change</v>
          </cell>
        </row>
        <row r="14">
          <cell r="D14" t="str">
            <v>Name extension</v>
          </cell>
        </row>
        <row r="15">
          <cell r="D15" t="str">
            <v>Acadmey Trust name</v>
          </cell>
        </row>
        <row r="16">
          <cell r="D16" t="str">
            <v>Academy removed from Summariser</v>
          </cell>
        </row>
        <row r="17">
          <cell r="D17"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tinyurl.com/SFVSQ9" TargetMode="External"/><Relationship Id="rId13" Type="http://schemas.openxmlformats.org/officeDocument/2006/relationships/hyperlink" Target="https://tinyurl.com/SFVSQ14" TargetMode="External"/><Relationship Id="rId18" Type="http://schemas.openxmlformats.org/officeDocument/2006/relationships/hyperlink" Target="https://tinyurl.com/SFVSQ20" TargetMode="External"/><Relationship Id="rId26" Type="http://schemas.openxmlformats.org/officeDocument/2006/relationships/hyperlink" Target="https://tinyurl.com/SFVSQ29" TargetMode="External"/><Relationship Id="rId3" Type="http://schemas.openxmlformats.org/officeDocument/2006/relationships/hyperlink" Target="https://tinyurl.com/SFVSQ1" TargetMode="External"/><Relationship Id="rId21" Type="http://schemas.openxmlformats.org/officeDocument/2006/relationships/hyperlink" Target="https://tinyurl.com/SFVSQ23" TargetMode="External"/><Relationship Id="rId7" Type="http://schemas.openxmlformats.org/officeDocument/2006/relationships/hyperlink" Target="https://tinyurl.com/SFVSQ6" TargetMode="External"/><Relationship Id="rId12" Type="http://schemas.openxmlformats.org/officeDocument/2006/relationships/hyperlink" Target="https://tinyurl.com/SFVSQ13" TargetMode="External"/><Relationship Id="rId17" Type="http://schemas.openxmlformats.org/officeDocument/2006/relationships/hyperlink" Target="https://tinyurl.com/SFVSQ19" TargetMode="External"/><Relationship Id="rId25" Type="http://schemas.openxmlformats.org/officeDocument/2006/relationships/hyperlink" Target="https://tinyurl.com/SFVSQ27" TargetMode="External"/><Relationship Id="rId2" Type="http://schemas.openxmlformats.org/officeDocument/2006/relationships/hyperlink" Target="https://tinyurl.com/SFVSQ8" TargetMode="External"/><Relationship Id="rId16" Type="http://schemas.openxmlformats.org/officeDocument/2006/relationships/hyperlink" Target="https://tinyurl.com/SFVSQ18" TargetMode="External"/><Relationship Id="rId20" Type="http://schemas.openxmlformats.org/officeDocument/2006/relationships/hyperlink" Target="https://tinyurl.com/SFVSQ22" TargetMode="External"/><Relationship Id="rId29" Type="http://schemas.openxmlformats.org/officeDocument/2006/relationships/hyperlink" Target="https://tinyurl.com/SFVSQ28a" TargetMode="External"/><Relationship Id="rId1" Type="http://schemas.openxmlformats.org/officeDocument/2006/relationships/hyperlink" Target="https://tinyurl.com/SFVSQ7" TargetMode="External"/><Relationship Id="rId6" Type="http://schemas.openxmlformats.org/officeDocument/2006/relationships/hyperlink" Target="https://tinyurl.com/SFVSQ5" TargetMode="External"/><Relationship Id="rId11" Type="http://schemas.openxmlformats.org/officeDocument/2006/relationships/hyperlink" Target="https://tinyurl.com/SFVSQ12" TargetMode="External"/><Relationship Id="rId24" Type="http://schemas.openxmlformats.org/officeDocument/2006/relationships/hyperlink" Target="https://tinyurl.com/SFVSQ26" TargetMode="External"/><Relationship Id="rId5" Type="http://schemas.openxmlformats.org/officeDocument/2006/relationships/hyperlink" Target="https://tinyurl.com/SFVSQ4" TargetMode="External"/><Relationship Id="rId15" Type="http://schemas.openxmlformats.org/officeDocument/2006/relationships/hyperlink" Target="https://tinyurl.com/SFVSQ17" TargetMode="External"/><Relationship Id="rId23" Type="http://schemas.openxmlformats.org/officeDocument/2006/relationships/hyperlink" Target="https://tinyurl.com/SFVSQ25" TargetMode="External"/><Relationship Id="rId28" Type="http://schemas.openxmlformats.org/officeDocument/2006/relationships/hyperlink" Target="https://tinyurl.com/SFVSQ16" TargetMode="External"/><Relationship Id="rId10" Type="http://schemas.openxmlformats.org/officeDocument/2006/relationships/hyperlink" Target="https://tinyurl.com/SFVSQ11" TargetMode="External"/><Relationship Id="rId19" Type="http://schemas.openxmlformats.org/officeDocument/2006/relationships/hyperlink" Target="https://tinyurl.com/SFVSQ21" TargetMode="External"/><Relationship Id="rId31" Type="http://schemas.openxmlformats.org/officeDocument/2006/relationships/printerSettings" Target="../printerSettings/printerSettings2.bin"/><Relationship Id="rId4" Type="http://schemas.openxmlformats.org/officeDocument/2006/relationships/hyperlink" Target="https://tinyurl.com/SFVSQ3a" TargetMode="External"/><Relationship Id="rId9" Type="http://schemas.openxmlformats.org/officeDocument/2006/relationships/hyperlink" Target="https://tinyurl.com/SFVSQ10" TargetMode="External"/><Relationship Id="rId14" Type="http://schemas.openxmlformats.org/officeDocument/2006/relationships/hyperlink" Target="https://tinyurl.com/SFVSQ15" TargetMode="External"/><Relationship Id="rId22" Type="http://schemas.openxmlformats.org/officeDocument/2006/relationships/hyperlink" Target="https://tinyurl.com/SFVSQ24" TargetMode="External"/><Relationship Id="rId27" Type="http://schemas.openxmlformats.org/officeDocument/2006/relationships/hyperlink" Target="https://tinyurl.com/SFVSQ2" TargetMode="External"/><Relationship Id="rId30" Type="http://schemas.openxmlformats.org/officeDocument/2006/relationships/hyperlink" Target="https://gov.uk/government/publications/schools-financial-value-standard-sfvs/2019-to-2020-checklist-guidanc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gov.uk/government/publications/schools-financial-value-standard-sfvs/2019-to-2020-dashboard-guidance" TargetMode="External"/><Relationship Id="rId13" Type="http://schemas.openxmlformats.org/officeDocument/2006/relationships/hyperlink" Target="https://gov.uk/government/publications/schools-financial-value-standard-sfvs/2019-to-2020-dashboard-guidance" TargetMode="External"/><Relationship Id="rId18" Type="http://schemas.openxmlformats.org/officeDocument/2006/relationships/hyperlink" Target="https://gov.uk/government/publications/schools-financial-value-standard-sfvs/2019-to-2020-dashboard-guidance" TargetMode="External"/><Relationship Id="rId26" Type="http://schemas.openxmlformats.org/officeDocument/2006/relationships/hyperlink" Target="https://gov.uk/government/publications/schools-financial-value-standard-sfvs/2019-to-2020-dashboard-guidance" TargetMode="External"/><Relationship Id="rId3" Type="http://schemas.openxmlformats.org/officeDocument/2006/relationships/hyperlink" Target="https://gov.uk/government/publications/schools-financial-value-standard-sfvs/2019-to-2020-dashboard-guidance" TargetMode="External"/><Relationship Id="rId21" Type="http://schemas.openxmlformats.org/officeDocument/2006/relationships/hyperlink" Target="https://gov.uk/government/publications/schools-financial-value-standard-sfvs/2019-to-2020-dashboard-guidance" TargetMode="External"/><Relationship Id="rId7" Type="http://schemas.openxmlformats.org/officeDocument/2006/relationships/hyperlink" Target="https://gov.uk/government/publications/schools-financial-value-standard-sfvs/2019-to-2020-dashboard-guidance" TargetMode="External"/><Relationship Id="rId12" Type="http://schemas.openxmlformats.org/officeDocument/2006/relationships/hyperlink" Target="https://gov.uk/government/publications/schools-financial-value-standard-sfvs/2019-to-2020-dashboard-guidance" TargetMode="External"/><Relationship Id="rId17" Type="http://schemas.openxmlformats.org/officeDocument/2006/relationships/hyperlink" Target="https://gov.uk/government/publications/schools-financial-value-standard-sfvs/2019-to-2020-dashboard-guidance" TargetMode="External"/><Relationship Id="rId25" Type="http://schemas.openxmlformats.org/officeDocument/2006/relationships/hyperlink" Target="https://gov.uk/government/publications/schools-financial-value-standard-sfvs/2019-to-2020-dashboard-guidance" TargetMode="External"/><Relationship Id="rId2" Type="http://schemas.openxmlformats.org/officeDocument/2006/relationships/hyperlink" Target="https://gov.uk/government/publications/schools-financial-value-standard-sfvs/2019-to-2020-dashboard-guidance" TargetMode="External"/><Relationship Id="rId16" Type="http://schemas.openxmlformats.org/officeDocument/2006/relationships/hyperlink" Target="https://gov.uk/government/publications/schools-financial-value-standard-sfvs/2019-to-2020-dashboard-guidance" TargetMode="External"/><Relationship Id="rId20" Type="http://schemas.openxmlformats.org/officeDocument/2006/relationships/hyperlink" Target="https://gov.uk/government/publications/schools-financial-value-standard-sfvs/2019-to-2020-dashboard-guidance" TargetMode="External"/><Relationship Id="rId29" Type="http://schemas.openxmlformats.org/officeDocument/2006/relationships/drawing" Target="../drawings/drawing1.xml"/><Relationship Id="rId1" Type="http://schemas.openxmlformats.org/officeDocument/2006/relationships/hyperlink" Target="https://gov.uk/government/publications/schools-financial-value-standard-sfvs/2019-to-2020-dashboard-guidance" TargetMode="External"/><Relationship Id="rId6" Type="http://schemas.openxmlformats.org/officeDocument/2006/relationships/hyperlink" Target="https://www.gov.uk/government/publications/school-resource-management-self-assessment-tool/dashboard-support-notes" TargetMode="External"/><Relationship Id="rId11" Type="http://schemas.openxmlformats.org/officeDocument/2006/relationships/hyperlink" Target="https://gov.uk/government/publications/schools-financial-value-standard-sfvs/2019-to-2020-dashboard-guidance" TargetMode="External"/><Relationship Id="rId24" Type="http://schemas.openxmlformats.org/officeDocument/2006/relationships/hyperlink" Target="https://gov.uk/government/publications/schools-financial-value-standard-sfvs/2019-to-2020-dashboard-guidance" TargetMode="External"/><Relationship Id="rId5" Type="http://schemas.openxmlformats.org/officeDocument/2006/relationships/hyperlink" Target="https://www.gov.uk/government/publications/school-resource-management-self-assessment-tool/dashboard-support-notes" TargetMode="External"/><Relationship Id="rId15" Type="http://schemas.openxmlformats.org/officeDocument/2006/relationships/hyperlink" Target="https://gov.uk/government/publications/schools-financial-value-standard-sfvs/2019-to-2020-dashboard-guidance" TargetMode="External"/><Relationship Id="rId23" Type="http://schemas.openxmlformats.org/officeDocument/2006/relationships/hyperlink" Target="https://gov.uk/government/publications/schools-financial-value-standard-sfvs/2019-to-2020-dashboard-guidance" TargetMode="External"/><Relationship Id="rId28" Type="http://schemas.openxmlformats.org/officeDocument/2006/relationships/printerSettings" Target="../printerSettings/printerSettings3.bin"/><Relationship Id="rId10" Type="http://schemas.openxmlformats.org/officeDocument/2006/relationships/hyperlink" Target="https://gov.uk/government/publications/schools-financial-value-standard-sfvs/2019-to-2020-dashboard-guidance" TargetMode="External"/><Relationship Id="rId19" Type="http://schemas.openxmlformats.org/officeDocument/2006/relationships/hyperlink" Target="https://gov.uk/government/publications/schools-financial-value-standard-sfvs/2019-to-2020-dashboard-guidance" TargetMode="External"/><Relationship Id="rId4" Type="http://schemas.openxmlformats.org/officeDocument/2006/relationships/hyperlink" Target="https://gov.uk/government/publications/schools-financial-value-standard-sfvs/2019-to-2020-dashboard-guidance" TargetMode="External"/><Relationship Id="rId9" Type="http://schemas.openxmlformats.org/officeDocument/2006/relationships/hyperlink" Target="https://gov.uk/government/publications/schools-financial-value-standard-sfvs/2019-to-2020-dashboard-guidance" TargetMode="External"/><Relationship Id="rId14" Type="http://schemas.openxmlformats.org/officeDocument/2006/relationships/hyperlink" Target="https://gov.uk/government/publications/schools-financial-value-standard-sfvs/2019-to-2020-dashboard-guidance" TargetMode="External"/><Relationship Id="rId22" Type="http://schemas.openxmlformats.org/officeDocument/2006/relationships/hyperlink" Target="https://gov.uk/government/publications/schools-financial-value-standard-sfvs/2019-to-2020-dashboard-guidance" TargetMode="External"/><Relationship Id="rId27" Type="http://schemas.openxmlformats.org/officeDocument/2006/relationships/hyperlink" Target="https://www.gov.uk/government/publications/schools-financial-value-standard-sfvs/2019-to-2020-dashboard-guidanc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pageSetUpPr fitToPage="1"/>
  </sheetPr>
  <dimension ref="A1:X26"/>
  <sheetViews>
    <sheetView showGridLines="0" showRowColHeaders="0" topLeftCell="A5" zoomScale="90" zoomScaleNormal="90" workbookViewId="0"/>
  </sheetViews>
  <sheetFormatPr defaultColWidth="0" defaultRowHeight="0" customHeight="1" zeroHeight="1" x14ac:dyDescent="0.2"/>
  <cols>
    <col min="1" max="1" width="8" style="1" customWidth="1"/>
    <col min="2" max="2" width="2.5703125" style="1" customWidth="1"/>
    <col min="3" max="3" width="3.28515625" style="1" customWidth="1"/>
    <col min="4" max="11" width="9" style="1" customWidth="1"/>
    <col min="12" max="12" width="10.5703125" style="1" customWidth="1"/>
    <col min="13" max="13" width="9" style="1" customWidth="1"/>
    <col min="14" max="18" width="10.28515625" style="1" customWidth="1"/>
    <col min="19" max="20" width="9" style="1" customWidth="1"/>
    <col min="21" max="21" width="2.5703125" style="1" customWidth="1"/>
    <col min="22" max="22" width="7.5703125" style="1" customWidth="1"/>
    <col min="23" max="16384" width="9" style="1" hidden="1"/>
  </cols>
  <sheetData>
    <row r="1" spans="2:21" ht="14.25" customHeight="1" thickBot="1" x14ac:dyDescent="0.25"/>
    <row r="2" spans="2:21" ht="14.25" x14ac:dyDescent="0.2">
      <c r="B2" s="2"/>
      <c r="C2" s="3"/>
      <c r="D2" s="3"/>
      <c r="E2" s="3"/>
      <c r="F2" s="3"/>
      <c r="G2" s="3"/>
      <c r="H2" s="3"/>
      <c r="I2" s="3"/>
      <c r="J2" s="3"/>
      <c r="K2" s="3"/>
      <c r="L2" s="3"/>
      <c r="M2" s="3"/>
      <c r="N2" s="3"/>
      <c r="O2" s="3"/>
      <c r="P2" s="3"/>
      <c r="Q2" s="3"/>
      <c r="R2" s="3"/>
      <c r="S2" s="3"/>
      <c r="T2" s="3"/>
      <c r="U2" s="4"/>
    </row>
    <row r="3" spans="2:21" ht="20.25" x14ac:dyDescent="0.2">
      <c r="B3" s="6"/>
      <c r="C3" s="233" t="s">
        <v>240</v>
      </c>
      <c r="D3" s="233"/>
      <c r="E3" s="233"/>
      <c r="F3" s="233"/>
      <c r="G3" s="233"/>
      <c r="H3" s="233"/>
      <c r="I3" s="233"/>
      <c r="J3" s="233"/>
      <c r="K3" s="233"/>
      <c r="L3" s="233"/>
      <c r="M3" s="233"/>
      <c r="N3" s="233"/>
      <c r="O3" s="233"/>
      <c r="P3" s="233"/>
      <c r="Q3" s="233"/>
      <c r="R3" s="233"/>
      <c r="S3" s="233"/>
      <c r="T3" s="233"/>
      <c r="U3" s="7"/>
    </row>
    <row r="4" spans="2:21" ht="14.25" x14ac:dyDescent="0.2">
      <c r="B4" s="6"/>
      <c r="U4" s="7"/>
    </row>
    <row r="5" spans="2:21" s="34" customFormat="1" ht="88.5" customHeight="1" x14ac:dyDescent="0.25">
      <c r="B5" s="32"/>
      <c r="C5" s="234" t="s">
        <v>241</v>
      </c>
      <c r="D5" s="235"/>
      <c r="E5" s="235"/>
      <c r="F5" s="235"/>
      <c r="G5" s="235"/>
      <c r="H5" s="235"/>
      <c r="I5" s="235"/>
      <c r="J5" s="235"/>
      <c r="K5" s="235"/>
      <c r="L5" s="235"/>
      <c r="M5" s="235"/>
      <c r="N5" s="235"/>
      <c r="O5" s="235"/>
      <c r="P5" s="235"/>
      <c r="Q5" s="235"/>
      <c r="R5" s="235"/>
      <c r="S5" s="235"/>
      <c r="T5" s="236"/>
      <c r="U5" s="33"/>
    </row>
    <row r="6" spans="2:21" s="34" customFormat="1" ht="31.15" customHeight="1" x14ac:dyDescent="0.25">
      <c r="B6" s="32"/>
      <c r="C6" s="237" t="s">
        <v>242</v>
      </c>
      <c r="D6" s="238"/>
      <c r="E6" s="238"/>
      <c r="F6" s="238"/>
      <c r="G6" s="238"/>
      <c r="H6" s="238"/>
      <c r="I6" s="238"/>
      <c r="J6" s="238"/>
      <c r="K6" s="238"/>
      <c r="L6" s="238"/>
      <c r="M6" s="238"/>
      <c r="N6" s="238"/>
      <c r="O6" s="238"/>
      <c r="P6" s="238"/>
      <c r="Q6" s="238"/>
      <c r="R6" s="238"/>
      <c r="S6" s="238"/>
      <c r="T6" s="239"/>
      <c r="U6" s="33"/>
    </row>
    <row r="7" spans="2:21" ht="40.5" customHeight="1" x14ac:dyDescent="0.2">
      <c r="B7" s="6"/>
      <c r="C7" s="240" t="s">
        <v>243</v>
      </c>
      <c r="D7" s="241"/>
      <c r="E7" s="241"/>
      <c r="F7" s="241"/>
      <c r="G7" s="241"/>
      <c r="H7" s="241"/>
      <c r="I7" s="241"/>
      <c r="J7" s="241"/>
      <c r="K7" s="241"/>
      <c r="L7" s="241"/>
      <c r="M7" s="241"/>
      <c r="N7" s="241"/>
      <c r="O7" s="241"/>
      <c r="P7" s="241"/>
      <c r="Q7" s="241"/>
      <c r="R7" s="241"/>
      <c r="S7" s="241"/>
      <c r="T7" s="242"/>
      <c r="U7" s="7"/>
    </row>
    <row r="8" spans="2:21" ht="15" x14ac:dyDescent="0.2">
      <c r="B8" s="6"/>
      <c r="C8" s="195"/>
      <c r="D8" s="195"/>
      <c r="E8" s="195"/>
      <c r="F8" s="195"/>
      <c r="G8" s="195"/>
      <c r="H8" s="195"/>
      <c r="I8" s="195"/>
      <c r="J8" s="195"/>
      <c r="K8" s="195"/>
      <c r="L8" s="195"/>
      <c r="M8" s="195"/>
      <c r="N8" s="195"/>
      <c r="O8" s="195"/>
      <c r="P8" s="195"/>
      <c r="Q8" s="195"/>
      <c r="R8" s="195"/>
      <c r="S8" s="195"/>
      <c r="T8" s="195"/>
      <c r="U8" s="7"/>
    </row>
    <row r="9" spans="2:21" ht="14.25" x14ac:dyDescent="0.2">
      <c r="B9" s="6"/>
      <c r="U9" s="7"/>
    </row>
    <row r="10" spans="2:21" ht="24.75" customHeight="1" x14ac:dyDescent="0.2">
      <c r="B10" s="6"/>
      <c r="C10" s="233" t="s">
        <v>244</v>
      </c>
      <c r="D10" s="233"/>
      <c r="E10" s="233"/>
      <c r="F10" s="233"/>
      <c r="G10" s="233"/>
      <c r="H10" s="233"/>
      <c r="I10" s="233"/>
      <c r="J10" s="233"/>
      <c r="K10" s="233"/>
      <c r="L10" s="233"/>
      <c r="M10" s="233"/>
      <c r="N10" s="233"/>
      <c r="O10" s="233"/>
      <c r="P10" s="233"/>
      <c r="Q10" s="233"/>
      <c r="R10" s="233"/>
      <c r="S10" s="233"/>
      <c r="T10" s="233"/>
      <c r="U10" s="7"/>
    </row>
    <row r="11" spans="2:21" ht="14.25" x14ac:dyDescent="0.2">
      <c r="B11" s="6"/>
      <c r="U11" s="7"/>
    </row>
    <row r="12" spans="2:21" ht="15.75" x14ac:dyDescent="0.25">
      <c r="B12" s="6"/>
      <c r="C12" s="230" t="s">
        <v>166</v>
      </c>
      <c r="D12" s="231"/>
      <c r="E12" s="231"/>
      <c r="F12" s="231"/>
      <c r="G12" s="231"/>
      <c r="H12" s="231"/>
      <c r="I12" s="231"/>
      <c r="J12" s="231"/>
      <c r="K12" s="231"/>
      <c r="L12" s="231"/>
      <c r="M12" s="231"/>
      <c r="N12" s="231"/>
      <c r="O12" s="231"/>
      <c r="P12" s="231"/>
      <c r="Q12" s="231"/>
      <c r="R12" s="231"/>
      <c r="S12" s="231"/>
      <c r="T12" s="232"/>
      <c r="U12" s="7"/>
    </row>
    <row r="13" spans="2:21" ht="282" customHeight="1" x14ac:dyDescent="0.2">
      <c r="B13" s="6"/>
      <c r="C13" s="243" t="s">
        <v>55</v>
      </c>
      <c r="D13" s="244"/>
      <c r="E13" s="244"/>
      <c r="F13" s="244"/>
      <c r="G13" s="244"/>
      <c r="H13" s="244"/>
      <c r="I13" s="244"/>
      <c r="J13" s="244"/>
      <c r="K13" s="244"/>
      <c r="L13" s="244"/>
      <c r="M13" s="244"/>
      <c r="N13" s="244"/>
      <c r="O13" s="244"/>
      <c r="P13" s="244"/>
      <c r="Q13" s="244"/>
      <c r="R13" s="244"/>
      <c r="S13" s="244"/>
      <c r="T13" s="245"/>
      <c r="U13" s="7"/>
    </row>
    <row r="14" spans="2:21" ht="14.65" customHeight="1" x14ac:dyDescent="0.2">
      <c r="B14" s="6"/>
      <c r="U14" s="7"/>
    </row>
    <row r="15" spans="2:21" ht="15.4" customHeight="1" x14ac:dyDescent="0.2">
      <c r="B15" s="6"/>
      <c r="C15" s="246" t="s">
        <v>56</v>
      </c>
      <c r="D15" s="247"/>
      <c r="E15" s="247"/>
      <c r="F15" s="247"/>
      <c r="G15" s="247"/>
      <c r="H15" s="247"/>
      <c r="I15" s="247"/>
      <c r="J15" s="247"/>
      <c r="K15" s="248"/>
      <c r="L15" s="249"/>
      <c r="M15" s="250"/>
      <c r="N15" s="251"/>
      <c r="O15" s="252" t="s">
        <v>245</v>
      </c>
      <c r="P15" s="252"/>
      <c r="Q15" s="252"/>
      <c r="R15" s="252"/>
      <c r="S15" s="252"/>
      <c r="U15" s="7"/>
    </row>
    <row r="16" spans="2:21" ht="15.4" customHeight="1" x14ac:dyDescent="0.2">
      <c r="B16" s="6"/>
      <c r="C16" s="196"/>
      <c r="D16" s="196"/>
      <c r="E16" s="197"/>
      <c r="U16" s="7"/>
    </row>
    <row r="17" spans="2:24" ht="15.4" customHeight="1" x14ac:dyDescent="0.2">
      <c r="B17" s="6"/>
      <c r="C17" s="246" t="s">
        <v>59</v>
      </c>
      <c r="D17" s="247"/>
      <c r="E17" s="247"/>
      <c r="F17" s="247"/>
      <c r="G17" s="247"/>
      <c r="H17" s="247"/>
      <c r="I17" s="247"/>
      <c r="J17" s="247"/>
      <c r="K17" s="248"/>
      <c r="L17" s="249"/>
      <c r="M17" s="250"/>
      <c r="N17" s="251"/>
      <c r="U17" s="7"/>
    </row>
    <row r="18" spans="2:24" ht="15.4" customHeight="1" x14ac:dyDescent="0.2">
      <c r="B18" s="6"/>
      <c r="C18" s="196"/>
      <c r="D18" s="196"/>
      <c r="E18" s="197"/>
      <c r="F18" s="197"/>
      <c r="G18" s="197"/>
      <c r="L18" s="197"/>
      <c r="M18" s="197"/>
      <c r="N18" s="197"/>
      <c r="O18" s="197"/>
      <c r="U18" s="7"/>
    </row>
    <row r="19" spans="2:24" ht="15.4" customHeight="1" x14ac:dyDescent="0.2">
      <c r="B19" s="6"/>
      <c r="C19" s="246" t="s">
        <v>246</v>
      </c>
      <c r="D19" s="247"/>
      <c r="E19" s="247"/>
      <c r="F19" s="247"/>
      <c r="G19" s="247"/>
      <c r="H19" s="247"/>
      <c r="I19" s="247"/>
      <c r="J19" s="247"/>
      <c r="K19" s="248"/>
      <c r="L19" s="249"/>
      <c r="M19" s="250"/>
      <c r="N19" s="251"/>
      <c r="U19" s="7"/>
    </row>
    <row r="20" spans="2:24" ht="15.4" customHeight="1" x14ac:dyDescent="0.2">
      <c r="B20" s="6"/>
      <c r="C20" s="196"/>
      <c r="D20" s="196"/>
      <c r="E20" s="197"/>
      <c r="F20" s="197"/>
      <c r="G20" s="197"/>
      <c r="L20" s="197"/>
      <c r="M20" s="197"/>
      <c r="N20" s="197"/>
      <c r="O20" s="197"/>
      <c r="U20" s="7"/>
    </row>
    <row r="21" spans="2:24" ht="15.4" customHeight="1" x14ac:dyDescent="0.2">
      <c r="B21" s="6"/>
      <c r="C21" s="246" t="s">
        <v>247</v>
      </c>
      <c r="D21" s="247"/>
      <c r="E21" s="247"/>
      <c r="F21" s="247"/>
      <c r="G21" s="247"/>
      <c r="H21" s="247"/>
      <c r="I21" s="247"/>
      <c r="J21" s="247"/>
      <c r="K21" s="248"/>
      <c r="L21" s="249"/>
      <c r="M21" s="250"/>
      <c r="N21" s="251"/>
      <c r="U21" s="7"/>
    </row>
    <row r="22" spans="2:24" s="16" customFormat="1" ht="15.4" customHeight="1" thickBot="1" x14ac:dyDescent="0.25">
      <c r="B22" s="23"/>
      <c r="C22" s="25"/>
      <c r="D22" s="25"/>
      <c r="E22" s="25"/>
      <c r="F22" s="25"/>
      <c r="G22" s="25"/>
      <c r="H22" s="25"/>
      <c r="I22" s="25"/>
      <c r="J22" s="25"/>
      <c r="K22" s="26"/>
      <c r="L22" s="35"/>
      <c r="M22" s="28"/>
      <c r="N22" s="29"/>
      <c r="O22" s="29"/>
      <c r="P22" s="29"/>
      <c r="Q22" s="29"/>
      <c r="R22" s="29"/>
      <c r="S22" s="29"/>
      <c r="T22" s="29"/>
      <c r="U22" s="30"/>
    </row>
    <row r="23" spans="2:24" ht="39.4" customHeight="1" x14ac:dyDescent="0.2">
      <c r="C23" s="253"/>
      <c r="D23" s="253"/>
      <c r="E23" s="253"/>
      <c r="F23" s="253"/>
      <c r="G23" s="253"/>
      <c r="H23" s="253"/>
      <c r="I23" s="253"/>
      <c r="J23" s="253"/>
      <c r="L23" s="198"/>
      <c r="M23" s="199"/>
      <c r="N23" s="200"/>
      <c r="O23" s="200"/>
      <c r="P23" s="200"/>
      <c r="Q23" s="200"/>
      <c r="R23" s="200"/>
      <c r="W23" s="31"/>
      <c r="X23" s="31"/>
    </row>
    <row r="24" spans="2:24" ht="0" hidden="1" customHeight="1" x14ac:dyDescent="0.2"/>
    <row r="25" spans="2:24" ht="0" hidden="1" customHeight="1" x14ac:dyDescent="0.2"/>
    <row r="26" spans="2:24" ht="0" hidden="1" customHeight="1" x14ac:dyDescent="0.2"/>
  </sheetData>
  <sheetProtection algorithmName="SHA-512" hashValue="R1k5ZFeby9zJHvXd6eH/brhPzT2fOhEBfmkxViPArxNDBhWRT+b+Biw9Mey7qegydggBj3mVFsUUd9N47mVG0A==" saltValue="JYGFOmUPZNOR1kT45vtAjA==" spinCount="100000" sheet="1" formatColumns="0" formatRows="0" insertColumns="0" insertRows="0"/>
  <mergeCells count="17">
    <mergeCell ref="C19:K19"/>
    <mergeCell ref="L19:N19"/>
    <mergeCell ref="C21:K21"/>
    <mergeCell ref="L21:N21"/>
    <mergeCell ref="C23:J23"/>
    <mergeCell ref="C13:T13"/>
    <mergeCell ref="C15:K15"/>
    <mergeCell ref="L15:N15"/>
    <mergeCell ref="O15:S15"/>
    <mergeCell ref="C17:K17"/>
    <mergeCell ref="L17:N17"/>
    <mergeCell ref="C12:T12"/>
    <mergeCell ref="C3:T3"/>
    <mergeCell ref="C5:T5"/>
    <mergeCell ref="C6:T6"/>
    <mergeCell ref="C7:T7"/>
    <mergeCell ref="C10:T10"/>
  </mergeCells>
  <dataValidations count="1">
    <dataValidation type="list" allowBlank="1" showInputMessage="1" showErrorMessage="1" sqref="L22:L23">
      <formula1>$W$2:$Y$2</formula1>
    </dataValidation>
  </dataValidations>
  <pageMargins left="0.70866141732283472" right="0.70866141732283472" top="0.74803149606299213" bottom="0.74803149606299213" header="0.31496062992125984" footer="0.31496062992125984"/>
  <pageSetup paperSize="9" scale="70"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pageSetUpPr fitToPage="1"/>
  </sheetPr>
  <dimension ref="A1:Y64"/>
  <sheetViews>
    <sheetView showGridLines="0" showRowColHeaders="0" tabSelected="1" topLeftCell="A45" zoomScale="80" zoomScaleNormal="80" workbookViewId="0">
      <selection activeCell="O49" sqref="O49:U49"/>
    </sheetView>
  </sheetViews>
  <sheetFormatPr defaultColWidth="0" defaultRowHeight="0" customHeight="1" zeroHeight="1" x14ac:dyDescent="0.2"/>
  <cols>
    <col min="1" max="1" width="8" style="1" customWidth="1"/>
    <col min="2" max="2" width="2.5703125" style="1" customWidth="1"/>
    <col min="3" max="3" width="3.28515625" style="1" customWidth="1"/>
    <col min="4" max="10" width="9" style="1" customWidth="1"/>
    <col min="11" max="11" width="9.7109375" style="1" customWidth="1"/>
    <col min="12" max="12" width="8.42578125" style="1" customWidth="1"/>
    <col min="13" max="13" width="10.5703125" style="1" customWidth="1"/>
    <col min="14" max="14" width="9" style="1" customWidth="1"/>
    <col min="15" max="19" width="10.28515625" style="1" customWidth="1"/>
    <col min="20" max="21" width="9" style="1" customWidth="1"/>
    <col min="22" max="22" width="2.5703125" style="1" customWidth="1"/>
    <col min="23" max="23" width="7.5703125" style="1" customWidth="1"/>
    <col min="24" max="16384" width="9" style="1" hidden="1"/>
  </cols>
  <sheetData>
    <row r="1" spans="2:22" ht="14.25" customHeight="1" thickBot="1" x14ac:dyDescent="0.25"/>
    <row r="2" spans="2:22" ht="14.25" x14ac:dyDescent="0.2">
      <c r="B2" s="2"/>
      <c r="C2" s="3"/>
      <c r="D2" s="3"/>
      <c r="E2" s="3"/>
      <c r="F2" s="3"/>
      <c r="G2" s="3"/>
      <c r="H2" s="3"/>
      <c r="I2" s="3"/>
      <c r="J2" s="3"/>
      <c r="K2" s="3"/>
      <c r="L2" s="3"/>
      <c r="M2" s="3"/>
      <c r="N2" s="3"/>
      <c r="O2" s="3"/>
      <c r="P2" s="3"/>
      <c r="Q2" s="3"/>
      <c r="R2" s="3"/>
      <c r="S2" s="3"/>
      <c r="T2" s="3"/>
      <c r="U2" s="3"/>
      <c r="V2" s="4"/>
    </row>
    <row r="3" spans="2:22" ht="24.75" customHeight="1" x14ac:dyDescent="0.2">
      <c r="B3" s="6"/>
      <c r="C3" s="233" t="s">
        <v>248</v>
      </c>
      <c r="D3" s="233"/>
      <c r="E3" s="233"/>
      <c r="F3" s="233"/>
      <c r="G3" s="233"/>
      <c r="H3" s="233"/>
      <c r="I3" s="233"/>
      <c r="J3" s="233"/>
      <c r="K3" s="233"/>
      <c r="L3" s="233"/>
      <c r="M3" s="233"/>
      <c r="N3" s="233"/>
      <c r="O3" s="233"/>
      <c r="P3" s="233"/>
      <c r="Q3" s="233"/>
      <c r="R3" s="233"/>
      <c r="S3" s="233"/>
      <c r="T3" s="233"/>
      <c r="U3" s="233"/>
      <c r="V3" s="7"/>
    </row>
    <row r="4" spans="2:22" ht="14.25" x14ac:dyDescent="0.2">
      <c r="B4" s="6"/>
      <c r="V4" s="7"/>
    </row>
    <row r="5" spans="2:22" ht="57" customHeight="1" x14ac:dyDescent="0.2">
      <c r="B5" s="6"/>
      <c r="C5" s="254" t="s">
        <v>341</v>
      </c>
      <c r="D5" s="255"/>
      <c r="E5" s="255"/>
      <c r="F5" s="255"/>
      <c r="G5" s="255"/>
      <c r="H5" s="255"/>
      <c r="I5" s="255"/>
      <c r="J5" s="255"/>
      <c r="K5" s="255"/>
      <c r="L5" s="255"/>
      <c r="M5" s="255"/>
      <c r="N5" s="255"/>
      <c r="O5" s="255"/>
      <c r="P5" s="255"/>
      <c r="Q5" s="255"/>
      <c r="R5" s="255"/>
      <c r="S5" s="255"/>
      <c r="T5" s="255"/>
      <c r="U5" s="256"/>
      <c r="V5" s="7"/>
    </row>
    <row r="6" spans="2:22" ht="48.4" customHeight="1" x14ac:dyDescent="0.2">
      <c r="B6" s="6"/>
      <c r="C6" s="257" t="s">
        <v>249</v>
      </c>
      <c r="D6" s="258"/>
      <c r="E6" s="258"/>
      <c r="F6" s="258"/>
      <c r="G6" s="258"/>
      <c r="H6" s="258"/>
      <c r="I6" s="258"/>
      <c r="J6" s="258"/>
      <c r="K6" s="258"/>
      <c r="L6" s="258"/>
      <c r="M6" s="258"/>
      <c r="N6" s="258"/>
      <c r="O6" s="258"/>
      <c r="P6" s="258"/>
      <c r="Q6" s="258"/>
      <c r="R6" s="258"/>
      <c r="S6" s="258"/>
      <c r="T6" s="258"/>
      <c r="U6" s="259"/>
      <c r="V6" s="7"/>
    </row>
    <row r="7" spans="2:22" ht="46.15" customHeight="1" x14ac:dyDescent="0.2">
      <c r="B7" s="6"/>
      <c r="C7" s="260" t="s">
        <v>250</v>
      </c>
      <c r="D7" s="261"/>
      <c r="E7" s="261"/>
      <c r="F7" s="261"/>
      <c r="G7" s="261"/>
      <c r="H7" s="261"/>
      <c r="I7" s="261"/>
      <c r="J7" s="261"/>
      <c r="K7" s="261"/>
      <c r="L7" s="261"/>
      <c r="M7" s="261"/>
      <c r="N7" s="261"/>
      <c r="O7" s="261"/>
      <c r="P7" s="261"/>
      <c r="Q7" s="261"/>
      <c r="R7" s="261"/>
      <c r="S7" s="261"/>
      <c r="T7" s="261"/>
      <c r="U7" s="262"/>
      <c r="V7" s="7"/>
    </row>
    <row r="8" spans="2:22" ht="14.65" customHeight="1" x14ac:dyDescent="0.2">
      <c r="B8" s="6"/>
      <c r="V8" s="7"/>
    </row>
    <row r="9" spans="2:22" ht="14.65" customHeight="1" x14ac:dyDescent="0.2">
      <c r="B9" s="6"/>
      <c r="C9" s="274" t="s">
        <v>6</v>
      </c>
      <c r="D9" s="275"/>
      <c r="E9" s="275"/>
      <c r="F9" s="275"/>
      <c r="G9" s="276"/>
      <c r="H9" s="280" t="s">
        <v>345</v>
      </c>
      <c r="I9" s="281"/>
      <c r="J9" s="281"/>
      <c r="K9" s="281"/>
      <c r="L9" s="281"/>
      <c r="M9" s="281"/>
      <c r="N9" s="281"/>
      <c r="O9" s="281"/>
      <c r="P9" s="281"/>
      <c r="Q9" s="281"/>
      <c r="R9" s="281"/>
      <c r="S9" s="281"/>
      <c r="T9" s="281"/>
      <c r="U9" s="282"/>
      <c r="V9" s="7"/>
    </row>
    <row r="10" spans="2:22" ht="14.65" customHeight="1" x14ac:dyDescent="0.2">
      <c r="B10" s="6"/>
      <c r="C10" s="277"/>
      <c r="D10" s="278"/>
      <c r="E10" s="278"/>
      <c r="F10" s="278"/>
      <c r="G10" s="279"/>
      <c r="H10" s="283"/>
      <c r="I10" s="284"/>
      <c r="J10" s="284"/>
      <c r="K10" s="284"/>
      <c r="L10" s="284"/>
      <c r="M10" s="284"/>
      <c r="N10" s="284"/>
      <c r="O10" s="284"/>
      <c r="P10" s="284"/>
      <c r="Q10" s="284"/>
      <c r="R10" s="284"/>
      <c r="S10" s="284"/>
      <c r="T10" s="284"/>
      <c r="U10" s="285"/>
      <c r="V10" s="7"/>
    </row>
    <row r="11" spans="2:22" ht="27.75" customHeight="1" x14ac:dyDescent="0.2">
      <c r="B11" s="6"/>
      <c r="C11" s="286" t="s">
        <v>333</v>
      </c>
      <c r="D11" s="286"/>
      <c r="E11" s="286"/>
      <c r="F11" s="286"/>
      <c r="G11" s="286"/>
      <c r="H11" s="287" t="s">
        <v>346</v>
      </c>
      <c r="I11" s="287"/>
      <c r="J11" s="287"/>
      <c r="K11" s="287"/>
      <c r="L11" s="287"/>
      <c r="M11" s="287"/>
      <c r="N11" s="287"/>
      <c r="O11" s="287"/>
      <c r="P11" s="287"/>
      <c r="Q11" s="287"/>
      <c r="R11" s="287"/>
      <c r="S11" s="287"/>
      <c r="T11" s="287"/>
      <c r="U11" s="287"/>
      <c r="V11" s="7"/>
    </row>
    <row r="12" spans="2:22" s="16" customFormat="1" ht="14.25" customHeight="1" x14ac:dyDescent="0.2">
      <c r="B12" s="14"/>
      <c r="M12" s="201"/>
      <c r="N12" s="202"/>
      <c r="O12" s="201"/>
      <c r="P12" s="201"/>
      <c r="Q12" s="201"/>
      <c r="R12" s="201"/>
      <c r="S12" s="201"/>
      <c r="T12" s="201"/>
      <c r="V12" s="15"/>
    </row>
    <row r="13" spans="2:22" s="19" customFormat="1" ht="19.5" customHeight="1" x14ac:dyDescent="0.25">
      <c r="B13" s="17"/>
      <c r="M13" s="203" t="s">
        <v>37</v>
      </c>
      <c r="N13" s="203"/>
      <c r="O13" s="263" t="s">
        <v>13</v>
      </c>
      <c r="P13" s="263"/>
      <c r="Q13" s="263"/>
      <c r="R13" s="263"/>
      <c r="S13" s="263"/>
      <c r="T13" s="263"/>
      <c r="U13" s="263"/>
      <c r="V13" s="18"/>
    </row>
    <row r="14" spans="2:22" s="16" customFormat="1" ht="15.75" x14ac:dyDescent="0.2">
      <c r="B14" s="14"/>
      <c r="C14" s="264" t="s">
        <v>12</v>
      </c>
      <c r="D14" s="264"/>
      <c r="E14" s="264"/>
      <c r="F14" s="264"/>
      <c r="G14" s="264"/>
      <c r="H14" s="264"/>
      <c r="I14" s="264"/>
      <c r="J14" s="264"/>
      <c r="K14" s="264"/>
      <c r="L14" s="264"/>
      <c r="M14" s="264"/>
      <c r="N14" s="264"/>
      <c r="O14" s="264"/>
      <c r="P14" s="264"/>
      <c r="Q14" s="264"/>
      <c r="R14" s="264"/>
      <c r="S14" s="264"/>
      <c r="T14" s="264"/>
      <c r="U14" s="264"/>
      <c r="V14" s="15"/>
    </row>
    <row r="15" spans="2:22" s="16" customFormat="1" ht="4.1500000000000004" customHeight="1" x14ac:dyDescent="0.2">
      <c r="B15" s="14"/>
      <c r="F15" s="204"/>
      <c r="G15" s="204"/>
      <c r="H15" s="204"/>
      <c r="I15" s="204"/>
      <c r="J15" s="204"/>
      <c r="K15" s="204"/>
      <c r="L15" s="204"/>
      <c r="M15" s="204"/>
      <c r="N15" s="204"/>
      <c r="O15" s="204"/>
      <c r="P15" s="204"/>
      <c r="Q15" s="204"/>
      <c r="R15" s="204"/>
      <c r="S15" s="204"/>
      <c r="T15" s="204"/>
      <c r="V15" s="15"/>
    </row>
    <row r="16" spans="2:22" s="16" customFormat="1" ht="120" customHeight="1" x14ac:dyDescent="0.2">
      <c r="B16" s="14"/>
      <c r="C16" s="20">
        <v>1</v>
      </c>
      <c r="D16" s="265" t="s">
        <v>251</v>
      </c>
      <c r="E16" s="266"/>
      <c r="F16" s="266"/>
      <c r="G16" s="266"/>
      <c r="H16" s="266"/>
      <c r="I16" s="266"/>
      <c r="J16" s="267"/>
      <c r="K16" s="124" t="s">
        <v>252</v>
      </c>
      <c r="M16" s="216" t="s">
        <v>347</v>
      </c>
      <c r="N16" s="205"/>
      <c r="O16" s="268" t="s">
        <v>377</v>
      </c>
      <c r="P16" s="269"/>
      <c r="Q16" s="269"/>
      <c r="R16" s="269"/>
      <c r="S16" s="269"/>
      <c r="T16" s="269"/>
      <c r="U16" s="270"/>
      <c r="V16" s="15"/>
    </row>
    <row r="17" spans="2:25" s="16" customFormat="1" ht="99.95" customHeight="1" x14ac:dyDescent="0.2">
      <c r="B17" s="14"/>
      <c r="C17" s="20">
        <v>2</v>
      </c>
      <c r="D17" s="265" t="s">
        <v>253</v>
      </c>
      <c r="E17" s="266"/>
      <c r="F17" s="266"/>
      <c r="G17" s="266"/>
      <c r="H17" s="266"/>
      <c r="I17" s="266"/>
      <c r="J17" s="267"/>
      <c r="K17" s="124" t="s">
        <v>254</v>
      </c>
      <c r="M17" s="216" t="s">
        <v>347</v>
      </c>
      <c r="N17" s="205"/>
      <c r="O17" s="268" t="s">
        <v>349</v>
      </c>
      <c r="P17" s="269"/>
      <c r="Q17" s="269"/>
      <c r="R17" s="269"/>
      <c r="S17" s="269"/>
      <c r="T17" s="269"/>
      <c r="U17" s="270"/>
      <c r="V17" s="15"/>
      <c r="X17" s="21"/>
      <c r="Y17" s="21"/>
    </row>
    <row r="18" spans="2:25" s="16" customFormat="1" ht="99.95" customHeight="1" x14ac:dyDescent="0.2">
      <c r="B18" s="14"/>
      <c r="C18" s="22">
        <v>3</v>
      </c>
      <c r="D18" s="265" t="s">
        <v>255</v>
      </c>
      <c r="E18" s="266"/>
      <c r="F18" s="266"/>
      <c r="G18" s="266"/>
      <c r="H18" s="266"/>
      <c r="I18" s="266"/>
      <c r="J18" s="267"/>
      <c r="K18" s="124" t="s">
        <v>256</v>
      </c>
      <c r="M18" s="216" t="s">
        <v>347</v>
      </c>
      <c r="N18" s="205"/>
      <c r="O18" s="268" t="s">
        <v>350</v>
      </c>
      <c r="P18" s="269"/>
      <c r="Q18" s="269"/>
      <c r="R18" s="269"/>
      <c r="S18" s="269"/>
      <c r="T18" s="269"/>
      <c r="U18" s="270"/>
      <c r="V18" s="15"/>
    </row>
    <row r="19" spans="2:25" s="16" customFormat="1" ht="99.95" customHeight="1" x14ac:dyDescent="0.2">
      <c r="B19" s="14"/>
      <c r="C19" s="22">
        <v>4</v>
      </c>
      <c r="D19" s="265" t="s">
        <v>257</v>
      </c>
      <c r="E19" s="266"/>
      <c r="F19" s="266"/>
      <c r="G19" s="266"/>
      <c r="H19" s="266"/>
      <c r="I19" s="266"/>
      <c r="J19" s="267"/>
      <c r="K19" s="124" t="s">
        <v>258</v>
      </c>
      <c r="M19" s="216" t="s">
        <v>347</v>
      </c>
      <c r="N19" s="205"/>
      <c r="O19" s="268" t="s">
        <v>351</v>
      </c>
      <c r="P19" s="269"/>
      <c r="Q19" s="269"/>
      <c r="R19" s="269"/>
      <c r="S19" s="269"/>
      <c r="T19" s="269"/>
      <c r="U19" s="270"/>
      <c r="V19" s="15"/>
    </row>
    <row r="20" spans="2:25" s="16" customFormat="1" ht="99.95" customHeight="1" x14ac:dyDescent="0.2">
      <c r="B20" s="14"/>
      <c r="C20" s="22">
        <v>5</v>
      </c>
      <c r="D20" s="265" t="s">
        <v>259</v>
      </c>
      <c r="E20" s="266"/>
      <c r="F20" s="266"/>
      <c r="G20" s="266"/>
      <c r="H20" s="266"/>
      <c r="I20" s="266"/>
      <c r="J20" s="267"/>
      <c r="K20" s="124" t="s">
        <v>260</v>
      </c>
      <c r="M20" s="216" t="s">
        <v>347</v>
      </c>
      <c r="N20" s="205"/>
      <c r="O20" s="268" t="s">
        <v>355</v>
      </c>
      <c r="P20" s="269"/>
      <c r="Q20" s="269"/>
      <c r="R20" s="269"/>
      <c r="S20" s="269"/>
      <c r="T20" s="269"/>
      <c r="U20" s="270"/>
      <c r="V20" s="15"/>
    </row>
    <row r="21" spans="2:25" s="16" customFormat="1" ht="15.75" x14ac:dyDescent="0.25">
      <c r="B21" s="14"/>
      <c r="M21" s="206" t="str">
        <f>IF(OR(ROUND(SUM(M16:M20),3)=100%,SUM(M16:M20)=0),"","Section must sum to 100%")</f>
        <v/>
      </c>
      <c r="V21" s="15"/>
    </row>
    <row r="22" spans="2:25" s="16" customFormat="1" ht="15.75" x14ac:dyDescent="0.2">
      <c r="B22" s="14"/>
      <c r="C22" s="264" t="s">
        <v>336</v>
      </c>
      <c r="D22" s="264"/>
      <c r="E22" s="264"/>
      <c r="F22" s="264"/>
      <c r="G22" s="264"/>
      <c r="H22" s="264"/>
      <c r="I22" s="264"/>
      <c r="J22" s="264"/>
      <c r="K22" s="264"/>
      <c r="L22" s="264"/>
      <c r="M22" s="264"/>
      <c r="N22" s="264"/>
      <c r="O22" s="264"/>
      <c r="P22" s="264"/>
      <c r="Q22" s="264"/>
      <c r="R22" s="264"/>
      <c r="S22" s="264"/>
      <c r="T22" s="264"/>
      <c r="U22" s="264"/>
      <c r="V22" s="15"/>
    </row>
    <row r="23" spans="2:25" s="16" customFormat="1" ht="4.1500000000000004" customHeight="1" x14ac:dyDescent="0.2">
      <c r="B23" s="14"/>
      <c r="F23" s="204"/>
      <c r="G23" s="204"/>
      <c r="H23" s="204"/>
      <c r="I23" s="204"/>
      <c r="J23" s="204"/>
      <c r="K23" s="204"/>
      <c r="L23" s="204"/>
      <c r="M23" s="204"/>
      <c r="N23" s="204"/>
      <c r="O23" s="204"/>
      <c r="P23" s="204"/>
      <c r="Q23" s="204"/>
      <c r="R23" s="204"/>
      <c r="S23" s="204"/>
      <c r="T23" s="204"/>
      <c r="V23" s="15"/>
    </row>
    <row r="24" spans="2:25" s="16" customFormat="1" ht="60" customHeight="1" x14ac:dyDescent="0.2">
      <c r="B24" s="14"/>
      <c r="C24" s="22">
        <v>6</v>
      </c>
      <c r="D24" s="271" t="s">
        <v>261</v>
      </c>
      <c r="E24" s="272"/>
      <c r="F24" s="272"/>
      <c r="G24" s="272"/>
      <c r="H24" s="272"/>
      <c r="I24" s="272"/>
      <c r="J24" s="273"/>
      <c r="K24" s="124" t="s">
        <v>262</v>
      </c>
      <c r="M24" s="216" t="s">
        <v>347</v>
      </c>
      <c r="N24" s="205"/>
      <c r="O24" s="268" t="s">
        <v>352</v>
      </c>
      <c r="P24" s="269"/>
      <c r="Q24" s="269"/>
      <c r="R24" s="269"/>
      <c r="S24" s="269"/>
      <c r="T24" s="269"/>
      <c r="U24" s="270"/>
      <c r="V24" s="15"/>
    </row>
    <row r="25" spans="2:25" s="16" customFormat="1" ht="99.95" customHeight="1" x14ac:dyDescent="0.2">
      <c r="B25" s="14"/>
      <c r="C25" s="22">
        <v>7</v>
      </c>
      <c r="D25" s="265" t="s">
        <v>263</v>
      </c>
      <c r="E25" s="266"/>
      <c r="F25" s="266"/>
      <c r="G25" s="266"/>
      <c r="H25" s="266"/>
      <c r="I25" s="266"/>
      <c r="J25" s="267"/>
      <c r="K25" s="124" t="s">
        <v>264</v>
      </c>
      <c r="M25" s="216" t="s">
        <v>347</v>
      </c>
      <c r="N25" s="205"/>
      <c r="O25" s="268" t="s">
        <v>353</v>
      </c>
      <c r="P25" s="269"/>
      <c r="Q25" s="269"/>
      <c r="R25" s="269"/>
      <c r="S25" s="269"/>
      <c r="T25" s="269"/>
      <c r="U25" s="270"/>
      <c r="V25" s="15"/>
      <c r="X25" s="21"/>
      <c r="Y25" s="21"/>
    </row>
    <row r="26" spans="2:25" s="16" customFormat="1" ht="60" customHeight="1" x14ac:dyDescent="0.2">
      <c r="B26" s="14"/>
      <c r="C26" s="22">
        <v>8</v>
      </c>
      <c r="D26" s="265" t="s">
        <v>237</v>
      </c>
      <c r="E26" s="266"/>
      <c r="F26" s="266"/>
      <c r="G26" s="266"/>
      <c r="H26" s="266"/>
      <c r="I26" s="266"/>
      <c r="J26" s="267"/>
      <c r="K26" s="124" t="s">
        <v>265</v>
      </c>
      <c r="M26" s="216" t="s">
        <v>347</v>
      </c>
      <c r="N26" s="205"/>
      <c r="O26" s="268" t="s">
        <v>354</v>
      </c>
      <c r="P26" s="269"/>
      <c r="Q26" s="269"/>
      <c r="R26" s="269"/>
      <c r="S26" s="269"/>
      <c r="T26" s="269"/>
      <c r="U26" s="270"/>
      <c r="V26" s="15"/>
      <c r="X26" s="21"/>
      <c r="Y26" s="21"/>
    </row>
    <row r="27" spans="2:25" s="16" customFormat="1" ht="15.75" x14ac:dyDescent="0.25">
      <c r="B27" s="14"/>
      <c r="M27" s="206" t="str">
        <f>IF(OR(ROUND(SUM(M21:M25),3)=100%,SUM(M21:M25)=0),"","Section must sum to 100%")</f>
        <v/>
      </c>
      <c r="V27" s="15"/>
    </row>
    <row r="28" spans="2:25" s="16" customFormat="1" ht="15.75" x14ac:dyDescent="0.2">
      <c r="B28" s="14"/>
      <c r="C28" s="264" t="s">
        <v>337</v>
      </c>
      <c r="D28" s="264"/>
      <c r="E28" s="264"/>
      <c r="F28" s="264"/>
      <c r="G28" s="264"/>
      <c r="H28" s="264"/>
      <c r="I28" s="264"/>
      <c r="J28" s="264"/>
      <c r="K28" s="264"/>
      <c r="L28" s="264"/>
      <c r="M28" s="264"/>
      <c r="N28" s="264"/>
      <c r="O28" s="264"/>
      <c r="P28" s="264"/>
      <c r="Q28" s="264"/>
      <c r="R28" s="264"/>
      <c r="S28" s="264"/>
      <c r="T28" s="264"/>
      <c r="U28" s="264"/>
      <c r="V28" s="15"/>
    </row>
    <row r="29" spans="2:25" s="16" customFormat="1" ht="4.1500000000000004" customHeight="1" x14ac:dyDescent="0.2">
      <c r="B29" s="14"/>
      <c r="F29" s="204"/>
      <c r="G29" s="204"/>
      <c r="H29" s="204"/>
      <c r="I29" s="204"/>
      <c r="J29" s="204"/>
      <c r="K29" s="204"/>
      <c r="L29" s="204"/>
      <c r="M29" s="204"/>
      <c r="N29" s="204"/>
      <c r="O29" s="204"/>
      <c r="P29" s="204"/>
      <c r="Q29" s="204"/>
      <c r="R29" s="204"/>
      <c r="S29" s="204"/>
      <c r="T29" s="204"/>
      <c r="V29" s="15"/>
    </row>
    <row r="30" spans="2:25" s="16" customFormat="1" ht="249.95" customHeight="1" x14ac:dyDescent="0.2">
      <c r="B30" s="14"/>
      <c r="C30" s="22">
        <v>9</v>
      </c>
      <c r="D30" s="265" t="s">
        <v>266</v>
      </c>
      <c r="E30" s="266"/>
      <c r="F30" s="266"/>
      <c r="G30" s="266"/>
      <c r="H30" s="266"/>
      <c r="I30" s="266"/>
      <c r="J30" s="267"/>
      <c r="K30" s="124" t="s">
        <v>267</v>
      </c>
      <c r="M30" s="216" t="s">
        <v>347</v>
      </c>
      <c r="N30" s="205"/>
      <c r="O30" s="268" t="s">
        <v>356</v>
      </c>
      <c r="P30" s="269"/>
      <c r="Q30" s="269"/>
      <c r="R30" s="269"/>
      <c r="S30" s="269"/>
      <c r="T30" s="269"/>
      <c r="U30" s="270"/>
      <c r="V30" s="15"/>
    </row>
    <row r="31" spans="2:25" s="16" customFormat="1" ht="99.95" customHeight="1" x14ac:dyDescent="0.2">
      <c r="B31" s="14"/>
      <c r="C31" s="22">
        <v>10</v>
      </c>
      <c r="D31" s="265" t="s">
        <v>268</v>
      </c>
      <c r="E31" s="266"/>
      <c r="F31" s="266"/>
      <c r="G31" s="266"/>
      <c r="H31" s="266"/>
      <c r="I31" s="266"/>
      <c r="J31" s="267"/>
      <c r="K31" s="124" t="s">
        <v>269</v>
      </c>
      <c r="M31" s="216" t="s">
        <v>347</v>
      </c>
      <c r="N31" s="205"/>
      <c r="O31" s="268" t="s">
        <v>378</v>
      </c>
      <c r="P31" s="269"/>
      <c r="Q31" s="269"/>
      <c r="R31" s="269"/>
      <c r="S31" s="269"/>
      <c r="T31" s="269"/>
      <c r="U31" s="270"/>
      <c r="V31" s="15"/>
    </row>
    <row r="32" spans="2:25" s="16" customFormat="1" ht="140.1" customHeight="1" x14ac:dyDescent="0.2">
      <c r="B32" s="14"/>
      <c r="C32" s="22">
        <v>11</v>
      </c>
      <c r="D32" s="265" t="s">
        <v>270</v>
      </c>
      <c r="E32" s="266"/>
      <c r="F32" s="266"/>
      <c r="G32" s="266"/>
      <c r="H32" s="266"/>
      <c r="I32" s="266"/>
      <c r="J32" s="267"/>
      <c r="K32" s="124" t="s">
        <v>271</v>
      </c>
      <c r="M32" s="216" t="s">
        <v>347</v>
      </c>
      <c r="N32" s="205"/>
      <c r="O32" s="268" t="s">
        <v>357</v>
      </c>
      <c r="P32" s="269"/>
      <c r="Q32" s="269"/>
      <c r="R32" s="269"/>
      <c r="S32" s="269"/>
      <c r="T32" s="269"/>
      <c r="U32" s="270"/>
      <c r="V32" s="15"/>
    </row>
    <row r="33" spans="2:25" s="16" customFormat="1" ht="140.1" customHeight="1" x14ac:dyDescent="0.2">
      <c r="B33" s="14"/>
      <c r="C33" s="22">
        <v>12</v>
      </c>
      <c r="D33" s="271" t="s">
        <v>272</v>
      </c>
      <c r="E33" s="272"/>
      <c r="F33" s="272"/>
      <c r="G33" s="272"/>
      <c r="H33" s="272"/>
      <c r="I33" s="272"/>
      <c r="J33" s="273"/>
      <c r="K33" s="124" t="s">
        <v>273</v>
      </c>
      <c r="M33" s="216" t="s">
        <v>347</v>
      </c>
      <c r="N33" s="205"/>
      <c r="O33" s="268" t="s">
        <v>358</v>
      </c>
      <c r="P33" s="269"/>
      <c r="Q33" s="269"/>
      <c r="R33" s="269"/>
      <c r="S33" s="269"/>
      <c r="T33" s="269"/>
      <c r="U33" s="270"/>
      <c r="V33" s="15"/>
      <c r="X33" s="21"/>
      <c r="Y33" s="21"/>
    </row>
    <row r="34" spans="2:25" s="16" customFormat="1" ht="90" customHeight="1" x14ac:dyDescent="0.2">
      <c r="B34" s="14"/>
      <c r="C34" s="22">
        <v>13</v>
      </c>
      <c r="D34" s="271" t="s">
        <v>274</v>
      </c>
      <c r="E34" s="272"/>
      <c r="F34" s="272"/>
      <c r="G34" s="272"/>
      <c r="H34" s="272"/>
      <c r="I34" s="272"/>
      <c r="J34" s="273"/>
      <c r="K34" s="124" t="s">
        <v>275</v>
      </c>
      <c r="M34" s="216" t="s">
        <v>347</v>
      </c>
      <c r="N34" s="205"/>
      <c r="O34" s="268" t="s">
        <v>359</v>
      </c>
      <c r="P34" s="269"/>
      <c r="Q34" s="269"/>
      <c r="R34" s="269"/>
      <c r="S34" s="269"/>
      <c r="T34" s="269"/>
      <c r="U34" s="270"/>
      <c r="V34" s="15"/>
    </row>
    <row r="35" spans="2:25" s="16" customFormat="1" ht="15.75" x14ac:dyDescent="0.25">
      <c r="B35" s="14"/>
      <c r="M35" s="206" t="str">
        <f>IF(OR(ROUND(SUM(M28:M34),3)=100%,SUM(M28:M34)=0),"","Section must sum to 100%")</f>
        <v/>
      </c>
      <c r="V35" s="15"/>
    </row>
    <row r="36" spans="2:25" s="16" customFormat="1" ht="15.75" x14ac:dyDescent="0.2">
      <c r="B36" s="14"/>
      <c r="C36" s="264" t="s">
        <v>238</v>
      </c>
      <c r="D36" s="264"/>
      <c r="E36" s="264"/>
      <c r="F36" s="264"/>
      <c r="G36" s="264"/>
      <c r="H36" s="264"/>
      <c r="I36" s="264"/>
      <c r="J36" s="264"/>
      <c r="K36" s="264"/>
      <c r="L36" s="264"/>
      <c r="M36" s="264"/>
      <c r="N36" s="264"/>
      <c r="O36" s="264"/>
      <c r="P36" s="264"/>
      <c r="Q36" s="264"/>
      <c r="R36" s="264"/>
      <c r="S36" s="264"/>
      <c r="T36" s="264"/>
      <c r="U36" s="264"/>
      <c r="V36" s="15"/>
    </row>
    <row r="37" spans="2:25" s="16" customFormat="1" ht="4.1500000000000004" customHeight="1" x14ac:dyDescent="0.2">
      <c r="B37" s="14"/>
      <c r="F37" s="204"/>
      <c r="G37" s="204"/>
      <c r="H37" s="204"/>
      <c r="I37" s="204"/>
      <c r="J37" s="204"/>
      <c r="K37" s="204"/>
      <c r="L37" s="204"/>
      <c r="M37" s="204"/>
      <c r="N37" s="204"/>
      <c r="O37" s="204"/>
      <c r="P37" s="204"/>
      <c r="Q37" s="204"/>
      <c r="R37" s="204"/>
      <c r="S37" s="204"/>
      <c r="T37" s="204"/>
      <c r="V37" s="15"/>
    </row>
    <row r="38" spans="2:25" s="16" customFormat="1" ht="120" customHeight="1" x14ac:dyDescent="0.2">
      <c r="B38" s="14"/>
      <c r="C38" s="22">
        <v>14</v>
      </c>
      <c r="D38" s="265" t="s">
        <v>276</v>
      </c>
      <c r="E38" s="266"/>
      <c r="F38" s="266"/>
      <c r="G38" s="266"/>
      <c r="H38" s="266"/>
      <c r="I38" s="266"/>
      <c r="J38" s="267"/>
      <c r="K38" s="124" t="s">
        <v>360</v>
      </c>
      <c r="M38" s="216" t="s">
        <v>347</v>
      </c>
      <c r="N38" s="205"/>
      <c r="O38" s="268" t="s">
        <v>361</v>
      </c>
      <c r="P38" s="269"/>
      <c r="Q38" s="269"/>
      <c r="R38" s="269"/>
      <c r="S38" s="269"/>
      <c r="T38" s="269"/>
      <c r="U38" s="270"/>
      <c r="V38" s="15"/>
    </row>
    <row r="39" spans="2:25" s="16" customFormat="1" ht="90" customHeight="1" x14ac:dyDescent="0.2">
      <c r="B39" s="14"/>
      <c r="C39" s="22">
        <v>15</v>
      </c>
      <c r="D39" s="265" t="s">
        <v>277</v>
      </c>
      <c r="E39" s="266"/>
      <c r="F39" s="266"/>
      <c r="G39" s="266"/>
      <c r="H39" s="266"/>
      <c r="I39" s="266"/>
      <c r="J39" s="267"/>
      <c r="K39" s="124" t="s">
        <v>278</v>
      </c>
      <c r="M39" s="216" t="s">
        <v>347</v>
      </c>
      <c r="N39" s="205"/>
      <c r="O39" s="268" t="s">
        <v>362</v>
      </c>
      <c r="P39" s="269"/>
      <c r="Q39" s="269"/>
      <c r="R39" s="269"/>
      <c r="S39" s="269"/>
      <c r="T39" s="269"/>
      <c r="U39" s="270"/>
      <c r="V39" s="15"/>
    </row>
    <row r="40" spans="2:25" s="16" customFormat="1" ht="120" customHeight="1" x14ac:dyDescent="0.2">
      <c r="B40" s="14"/>
      <c r="C40" s="22">
        <v>16</v>
      </c>
      <c r="D40" s="265" t="s">
        <v>279</v>
      </c>
      <c r="E40" s="266"/>
      <c r="F40" s="266"/>
      <c r="G40" s="266"/>
      <c r="H40" s="266"/>
      <c r="I40" s="266"/>
      <c r="J40" s="267"/>
      <c r="K40" s="124" t="s">
        <v>280</v>
      </c>
      <c r="M40" s="216" t="s">
        <v>363</v>
      </c>
      <c r="N40" s="205"/>
      <c r="O40" s="268" t="s">
        <v>379</v>
      </c>
      <c r="P40" s="269"/>
      <c r="Q40" s="269"/>
      <c r="R40" s="269"/>
      <c r="S40" s="269"/>
      <c r="T40" s="269"/>
      <c r="U40" s="270"/>
      <c r="V40" s="15"/>
    </row>
    <row r="41" spans="2:25" s="16" customFormat="1" ht="15.75" x14ac:dyDescent="0.25">
      <c r="B41" s="14"/>
      <c r="M41" s="206" t="str">
        <f>IF(OR(ROUND(SUM(M34:M39),3)=100%,SUM(M34:M39)=0),"","Section must sum to 100%")</f>
        <v/>
      </c>
      <c r="V41" s="15"/>
    </row>
    <row r="42" spans="2:25" s="16" customFormat="1" ht="15.75" x14ac:dyDescent="0.2">
      <c r="B42" s="14"/>
      <c r="C42" s="264" t="s">
        <v>338</v>
      </c>
      <c r="D42" s="264"/>
      <c r="E42" s="264"/>
      <c r="F42" s="264"/>
      <c r="G42" s="264"/>
      <c r="H42" s="264"/>
      <c r="I42" s="264"/>
      <c r="J42" s="264"/>
      <c r="K42" s="264"/>
      <c r="L42" s="264"/>
      <c r="M42" s="264"/>
      <c r="N42" s="264"/>
      <c r="O42" s="264"/>
      <c r="P42" s="264"/>
      <c r="Q42" s="264"/>
      <c r="R42" s="264"/>
      <c r="S42" s="264"/>
      <c r="T42" s="264"/>
      <c r="U42" s="264"/>
      <c r="V42" s="15"/>
    </row>
    <row r="43" spans="2:25" s="16" customFormat="1" ht="4.1500000000000004" customHeight="1" x14ac:dyDescent="0.2">
      <c r="B43" s="14"/>
      <c r="F43" s="204"/>
      <c r="G43" s="204"/>
      <c r="H43" s="204"/>
      <c r="I43" s="204"/>
      <c r="J43" s="204"/>
      <c r="K43" s="204"/>
      <c r="L43" s="204"/>
      <c r="M43" s="204"/>
      <c r="N43" s="204"/>
      <c r="O43" s="204"/>
      <c r="P43" s="204"/>
      <c r="Q43" s="204"/>
      <c r="R43" s="204"/>
      <c r="S43" s="204"/>
      <c r="T43" s="204"/>
      <c r="V43" s="15"/>
    </row>
    <row r="44" spans="2:25" s="16" customFormat="1" ht="60" customHeight="1" x14ac:dyDescent="0.2">
      <c r="B44" s="14"/>
      <c r="C44" s="22">
        <v>17</v>
      </c>
      <c r="D44" s="265" t="s">
        <v>281</v>
      </c>
      <c r="E44" s="266"/>
      <c r="F44" s="266"/>
      <c r="G44" s="266"/>
      <c r="H44" s="266"/>
      <c r="I44" s="266"/>
      <c r="J44" s="267"/>
      <c r="K44" s="124" t="s">
        <v>282</v>
      </c>
      <c r="M44" s="216" t="s">
        <v>347</v>
      </c>
      <c r="N44" s="205"/>
      <c r="O44" s="268" t="s">
        <v>364</v>
      </c>
      <c r="P44" s="269"/>
      <c r="Q44" s="269"/>
      <c r="R44" s="269"/>
      <c r="S44" s="269"/>
      <c r="T44" s="269"/>
      <c r="U44" s="270"/>
      <c r="V44" s="15"/>
    </row>
    <row r="45" spans="2:25" s="16" customFormat="1" ht="140.1" customHeight="1" x14ac:dyDescent="0.2">
      <c r="B45" s="14"/>
      <c r="C45" s="22">
        <v>18</v>
      </c>
      <c r="D45" s="265" t="s">
        <v>283</v>
      </c>
      <c r="E45" s="266"/>
      <c r="F45" s="266"/>
      <c r="G45" s="266"/>
      <c r="H45" s="266"/>
      <c r="I45" s="266"/>
      <c r="J45" s="267"/>
      <c r="K45" s="124" t="s">
        <v>284</v>
      </c>
      <c r="M45" s="216" t="s">
        <v>347</v>
      </c>
      <c r="N45" s="205"/>
      <c r="O45" s="268" t="s">
        <v>365</v>
      </c>
      <c r="P45" s="269"/>
      <c r="Q45" s="269"/>
      <c r="R45" s="269"/>
      <c r="S45" s="269"/>
      <c r="T45" s="269"/>
      <c r="U45" s="270"/>
      <c r="V45" s="15"/>
      <c r="X45" s="21"/>
      <c r="Y45" s="21"/>
    </row>
    <row r="46" spans="2:25" s="16" customFormat="1" ht="90" customHeight="1" x14ac:dyDescent="0.25">
      <c r="B46" s="14"/>
      <c r="C46" s="22">
        <v>19</v>
      </c>
      <c r="D46" s="265" t="s">
        <v>285</v>
      </c>
      <c r="E46" s="266"/>
      <c r="F46" s="266"/>
      <c r="G46" s="266"/>
      <c r="H46" s="266"/>
      <c r="I46" s="266"/>
      <c r="J46" s="267"/>
      <c r="K46" s="124" t="s">
        <v>286</v>
      </c>
      <c r="M46" s="216" t="s">
        <v>363</v>
      </c>
      <c r="N46" s="207"/>
      <c r="O46" s="268" t="s">
        <v>366</v>
      </c>
      <c r="P46" s="269"/>
      <c r="Q46" s="269"/>
      <c r="R46" s="269"/>
      <c r="S46" s="269"/>
      <c r="T46" s="269"/>
      <c r="U46" s="270"/>
      <c r="V46" s="15"/>
    </row>
    <row r="47" spans="2:25" s="16" customFormat="1" ht="80.099999999999994" customHeight="1" x14ac:dyDescent="0.2">
      <c r="B47" s="14"/>
      <c r="C47" s="22">
        <v>20</v>
      </c>
      <c r="D47" s="265" t="s">
        <v>287</v>
      </c>
      <c r="E47" s="266"/>
      <c r="F47" s="266"/>
      <c r="G47" s="266"/>
      <c r="H47" s="266"/>
      <c r="I47" s="266"/>
      <c r="J47" s="267"/>
      <c r="K47" s="124" t="s">
        <v>288</v>
      </c>
      <c r="M47" s="216" t="s">
        <v>347</v>
      </c>
      <c r="N47" s="205"/>
      <c r="O47" s="268" t="s">
        <v>367</v>
      </c>
      <c r="P47" s="269"/>
      <c r="Q47" s="269"/>
      <c r="R47" s="269"/>
      <c r="S47" s="269"/>
      <c r="T47" s="269"/>
      <c r="U47" s="270"/>
      <c r="V47" s="15"/>
      <c r="X47" s="21"/>
      <c r="Y47" s="21"/>
    </row>
    <row r="48" spans="2:25" s="16" customFormat="1" ht="80.099999999999994" customHeight="1" x14ac:dyDescent="0.2">
      <c r="B48" s="14"/>
      <c r="C48" s="22">
        <v>21</v>
      </c>
      <c r="D48" s="265" t="s">
        <v>289</v>
      </c>
      <c r="E48" s="266"/>
      <c r="F48" s="266"/>
      <c r="G48" s="266"/>
      <c r="H48" s="266"/>
      <c r="I48" s="266"/>
      <c r="J48" s="267"/>
      <c r="K48" s="124" t="s">
        <v>290</v>
      </c>
      <c r="M48" s="216" t="s">
        <v>363</v>
      </c>
      <c r="N48" s="205"/>
      <c r="O48" s="268" t="s">
        <v>380</v>
      </c>
      <c r="P48" s="269"/>
      <c r="Q48" s="269"/>
      <c r="R48" s="269"/>
      <c r="S48" s="269"/>
      <c r="T48" s="269"/>
      <c r="U48" s="270"/>
      <c r="V48" s="15"/>
    </row>
    <row r="49" spans="2:25" s="16" customFormat="1" ht="99.95" customHeight="1" x14ac:dyDescent="0.2">
      <c r="B49" s="14"/>
      <c r="C49" s="22">
        <v>22</v>
      </c>
      <c r="D49" s="265" t="s">
        <v>291</v>
      </c>
      <c r="E49" s="266"/>
      <c r="F49" s="266"/>
      <c r="G49" s="266"/>
      <c r="H49" s="266"/>
      <c r="I49" s="266"/>
      <c r="J49" s="267"/>
      <c r="K49" s="124" t="s">
        <v>292</v>
      </c>
      <c r="M49" s="216" t="s">
        <v>347</v>
      </c>
      <c r="N49" s="205"/>
      <c r="O49" s="268" t="s">
        <v>368</v>
      </c>
      <c r="P49" s="269"/>
      <c r="Q49" s="269"/>
      <c r="R49" s="269"/>
      <c r="S49" s="269"/>
      <c r="T49" s="269"/>
      <c r="U49" s="270"/>
      <c r="V49" s="15"/>
      <c r="X49" s="21"/>
      <c r="Y49" s="21"/>
    </row>
    <row r="50" spans="2:25" s="16" customFormat="1" ht="15.75" x14ac:dyDescent="0.25">
      <c r="B50" s="14"/>
      <c r="M50" s="206" t="str">
        <f>IF(OR(ROUND(SUM(M45:M49),3)=100%,SUM(M45:M49)=0),"","Section must sum to 100%")</f>
        <v/>
      </c>
      <c r="V50" s="15"/>
    </row>
    <row r="51" spans="2:25" s="16" customFormat="1" ht="15.75" x14ac:dyDescent="0.2">
      <c r="B51" s="14"/>
      <c r="C51" s="264" t="s">
        <v>339</v>
      </c>
      <c r="D51" s="264"/>
      <c r="E51" s="264"/>
      <c r="F51" s="264"/>
      <c r="G51" s="264"/>
      <c r="H51" s="264"/>
      <c r="I51" s="264"/>
      <c r="J51" s="264"/>
      <c r="K51" s="264"/>
      <c r="L51" s="264"/>
      <c r="M51" s="264"/>
      <c r="N51" s="264"/>
      <c r="O51" s="264"/>
      <c r="P51" s="264"/>
      <c r="Q51" s="264"/>
      <c r="R51" s="264"/>
      <c r="S51" s="264"/>
      <c r="T51" s="264"/>
      <c r="U51" s="264"/>
      <c r="V51" s="15"/>
    </row>
    <row r="52" spans="2:25" s="16" customFormat="1" ht="4.1500000000000004" customHeight="1" x14ac:dyDescent="0.2">
      <c r="B52" s="14"/>
      <c r="F52" s="204"/>
      <c r="G52" s="204"/>
      <c r="H52" s="204"/>
      <c r="I52" s="204"/>
      <c r="J52" s="204"/>
      <c r="K52" s="204"/>
      <c r="L52" s="204"/>
      <c r="M52" s="204"/>
      <c r="N52" s="204"/>
      <c r="O52" s="204"/>
      <c r="P52" s="204"/>
      <c r="Q52" s="204"/>
      <c r="R52" s="204"/>
      <c r="S52" s="204"/>
      <c r="T52" s="204"/>
      <c r="V52" s="15"/>
    </row>
    <row r="53" spans="2:25" s="16" customFormat="1" ht="80.099999999999994" customHeight="1" x14ac:dyDescent="0.2">
      <c r="B53" s="14"/>
      <c r="C53" s="22">
        <v>23</v>
      </c>
      <c r="D53" s="265" t="s">
        <v>293</v>
      </c>
      <c r="E53" s="266"/>
      <c r="F53" s="266"/>
      <c r="G53" s="266"/>
      <c r="H53" s="266"/>
      <c r="I53" s="266"/>
      <c r="J53" s="267"/>
      <c r="K53" s="124" t="s">
        <v>294</v>
      </c>
      <c r="M53" s="216" t="s">
        <v>347</v>
      </c>
      <c r="N53" s="205"/>
      <c r="O53" s="268" t="s">
        <v>369</v>
      </c>
      <c r="P53" s="269"/>
      <c r="Q53" s="269"/>
      <c r="R53" s="269"/>
      <c r="S53" s="269"/>
      <c r="T53" s="269"/>
      <c r="U53" s="270"/>
      <c r="V53" s="15"/>
    </row>
    <row r="54" spans="2:25" s="16" customFormat="1" ht="80.099999999999994" customHeight="1" x14ac:dyDescent="0.2">
      <c r="B54" s="14"/>
      <c r="C54" s="22">
        <v>24</v>
      </c>
      <c r="D54" s="265" t="s">
        <v>51</v>
      </c>
      <c r="E54" s="266"/>
      <c r="F54" s="266"/>
      <c r="G54" s="266"/>
      <c r="H54" s="266"/>
      <c r="I54" s="266"/>
      <c r="J54" s="267"/>
      <c r="K54" s="124" t="s">
        <v>295</v>
      </c>
      <c r="M54" s="216" t="s">
        <v>347</v>
      </c>
      <c r="N54" s="205"/>
      <c r="O54" s="268" t="s">
        <v>370</v>
      </c>
      <c r="P54" s="269"/>
      <c r="Q54" s="269"/>
      <c r="R54" s="269"/>
      <c r="S54" s="269"/>
      <c r="T54" s="269"/>
      <c r="U54" s="270"/>
      <c r="V54" s="15"/>
    </row>
    <row r="55" spans="2:25" s="16" customFormat="1" ht="129.94999999999999" customHeight="1" x14ac:dyDescent="0.2">
      <c r="B55" s="14"/>
      <c r="C55" s="22">
        <v>25</v>
      </c>
      <c r="D55" s="265" t="s">
        <v>296</v>
      </c>
      <c r="E55" s="266"/>
      <c r="F55" s="266"/>
      <c r="G55" s="266"/>
      <c r="H55" s="266"/>
      <c r="I55" s="266"/>
      <c r="J55" s="267"/>
      <c r="K55" s="124" t="s">
        <v>297</v>
      </c>
      <c r="M55" s="216" t="s">
        <v>347</v>
      </c>
      <c r="N55" s="205"/>
      <c r="O55" s="268" t="s">
        <v>371</v>
      </c>
      <c r="P55" s="269"/>
      <c r="Q55" s="269"/>
      <c r="R55" s="269"/>
      <c r="S55" s="269"/>
      <c r="T55" s="269"/>
      <c r="U55" s="270"/>
      <c r="V55" s="15"/>
      <c r="X55" s="21"/>
      <c r="Y55" s="21"/>
    </row>
    <row r="56" spans="2:25" s="16" customFormat="1" ht="80.099999999999994" customHeight="1" x14ac:dyDescent="0.2">
      <c r="B56" s="14"/>
      <c r="C56" s="22">
        <v>26</v>
      </c>
      <c r="D56" s="265" t="s">
        <v>298</v>
      </c>
      <c r="E56" s="266"/>
      <c r="F56" s="266"/>
      <c r="G56" s="266"/>
      <c r="H56" s="266"/>
      <c r="I56" s="266"/>
      <c r="J56" s="267"/>
      <c r="K56" s="124" t="s">
        <v>299</v>
      </c>
      <c r="M56" s="216" t="s">
        <v>347</v>
      </c>
      <c r="N56" s="205"/>
      <c r="O56" s="268" t="s">
        <v>372</v>
      </c>
      <c r="P56" s="269"/>
      <c r="Q56" s="269"/>
      <c r="R56" s="269"/>
      <c r="S56" s="269"/>
      <c r="T56" s="269"/>
      <c r="U56" s="270"/>
      <c r="V56" s="15"/>
    </row>
    <row r="57" spans="2:25" s="16" customFormat="1" ht="99.95" customHeight="1" x14ac:dyDescent="0.2">
      <c r="B57" s="14"/>
      <c r="C57" s="22">
        <v>27</v>
      </c>
      <c r="D57" s="265" t="s">
        <v>300</v>
      </c>
      <c r="E57" s="266"/>
      <c r="F57" s="266"/>
      <c r="G57" s="266"/>
      <c r="H57" s="266"/>
      <c r="I57" s="266"/>
      <c r="J57" s="267"/>
      <c r="K57" s="124" t="s">
        <v>301</v>
      </c>
      <c r="M57" s="216" t="s">
        <v>347</v>
      </c>
      <c r="N57" s="205"/>
      <c r="O57" s="268" t="s">
        <v>373</v>
      </c>
      <c r="P57" s="269"/>
      <c r="Q57" s="269"/>
      <c r="R57" s="269"/>
      <c r="S57" s="269"/>
      <c r="T57" s="269"/>
      <c r="U57" s="270"/>
      <c r="V57" s="15"/>
    </row>
    <row r="58" spans="2:25" s="16" customFormat="1" ht="90" customHeight="1" x14ac:dyDescent="0.2">
      <c r="B58" s="14"/>
      <c r="C58" s="22">
        <v>28</v>
      </c>
      <c r="D58" s="265" t="s">
        <v>302</v>
      </c>
      <c r="E58" s="266"/>
      <c r="F58" s="266"/>
      <c r="G58" s="266"/>
      <c r="H58" s="266"/>
      <c r="I58" s="266"/>
      <c r="J58" s="267"/>
      <c r="K58" s="124" t="s">
        <v>303</v>
      </c>
      <c r="M58" s="216" t="s">
        <v>347</v>
      </c>
      <c r="N58" s="205"/>
      <c r="O58" s="268" t="s">
        <v>374</v>
      </c>
      <c r="P58" s="269"/>
      <c r="Q58" s="269"/>
      <c r="R58" s="269"/>
      <c r="S58" s="269"/>
      <c r="T58" s="269"/>
      <c r="U58" s="270"/>
      <c r="V58" s="15"/>
    </row>
    <row r="59" spans="2:25" s="16" customFormat="1" ht="15.75" x14ac:dyDescent="0.25">
      <c r="B59" s="14"/>
      <c r="M59" s="206" t="str">
        <f>IF(OR(ROUND(SUM(M54:M57),3)=100%,SUM(M54:M57)=0),"","Section must sum to 100%")</f>
        <v/>
      </c>
      <c r="V59" s="15"/>
    </row>
    <row r="60" spans="2:25" s="16" customFormat="1" ht="15.75" x14ac:dyDescent="0.2">
      <c r="B60" s="14"/>
      <c r="C60" s="264" t="s">
        <v>304</v>
      </c>
      <c r="D60" s="264"/>
      <c r="E60" s="264"/>
      <c r="F60" s="264"/>
      <c r="G60" s="264"/>
      <c r="H60" s="264"/>
      <c r="I60" s="264"/>
      <c r="J60" s="264"/>
      <c r="K60" s="264"/>
      <c r="L60" s="264"/>
      <c r="M60" s="264"/>
      <c r="N60" s="264"/>
      <c r="O60" s="264"/>
      <c r="P60" s="264"/>
      <c r="Q60" s="264"/>
      <c r="R60" s="264"/>
      <c r="S60" s="264"/>
      <c r="T60" s="264"/>
      <c r="U60" s="264"/>
      <c r="V60" s="15"/>
    </row>
    <row r="61" spans="2:25" s="16" customFormat="1" ht="4.1500000000000004" customHeight="1" x14ac:dyDescent="0.2">
      <c r="B61" s="14"/>
      <c r="F61" s="204"/>
      <c r="G61" s="204"/>
      <c r="H61" s="204"/>
      <c r="I61" s="204"/>
      <c r="J61" s="204"/>
      <c r="K61" s="204"/>
      <c r="L61" s="204"/>
      <c r="M61" s="204"/>
      <c r="N61" s="204"/>
      <c r="O61" s="204"/>
      <c r="P61" s="204"/>
      <c r="Q61" s="204"/>
      <c r="R61" s="204"/>
      <c r="S61" s="204"/>
      <c r="T61" s="204"/>
      <c r="V61" s="15"/>
    </row>
    <row r="62" spans="2:25" s="16" customFormat="1" ht="350.1" customHeight="1" x14ac:dyDescent="0.2">
      <c r="B62" s="14"/>
      <c r="C62" s="22">
        <v>29</v>
      </c>
      <c r="D62" s="265" t="s">
        <v>305</v>
      </c>
      <c r="E62" s="266"/>
      <c r="F62" s="266"/>
      <c r="G62" s="266"/>
      <c r="H62" s="266"/>
      <c r="I62" s="266"/>
      <c r="J62" s="267"/>
      <c r="K62" s="124" t="s">
        <v>306</v>
      </c>
      <c r="M62" s="216" t="s">
        <v>347</v>
      </c>
      <c r="N62" s="205"/>
      <c r="O62" s="268" t="s">
        <v>376</v>
      </c>
      <c r="P62" s="269"/>
      <c r="Q62" s="269"/>
      <c r="R62" s="269"/>
      <c r="S62" s="269"/>
      <c r="T62" s="269"/>
      <c r="U62" s="270"/>
      <c r="V62" s="15"/>
    </row>
    <row r="63" spans="2:25" s="16" customFormat="1" ht="15.4" customHeight="1" thickBot="1" x14ac:dyDescent="0.25">
      <c r="B63" s="23"/>
      <c r="C63" s="24"/>
      <c r="D63" s="24"/>
      <c r="E63" s="24"/>
      <c r="F63" s="24"/>
      <c r="G63" s="24"/>
      <c r="H63" s="24"/>
      <c r="I63" s="24"/>
      <c r="J63" s="24"/>
      <c r="K63" s="25"/>
      <c r="L63" s="26"/>
      <c r="M63" s="27"/>
      <c r="N63" s="28"/>
      <c r="O63" s="29"/>
      <c r="P63" s="29"/>
      <c r="Q63" s="29"/>
      <c r="R63" s="29"/>
      <c r="S63" s="29"/>
      <c r="T63" s="29"/>
      <c r="U63" s="29"/>
      <c r="V63" s="30"/>
    </row>
    <row r="64" spans="2:25" ht="39.4" customHeight="1" x14ac:dyDescent="0.2">
      <c r="C64" s="253"/>
      <c r="D64" s="253"/>
      <c r="E64" s="253"/>
      <c r="F64" s="253"/>
      <c r="G64" s="253"/>
      <c r="H64" s="253"/>
      <c r="I64" s="253"/>
      <c r="J64" s="253"/>
      <c r="K64" s="208"/>
      <c r="M64" s="198"/>
      <c r="N64" s="199"/>
      <c r="O64" s="200"/>
      <c r="P64" s="200"/>
      <c r="Q64" s="200"/>
      <c r="R64" s="200"/>
      <c r="S64" s="200"/>
      <c r="X64" s="31"/>
      <c r="Y64" s="31"/>
    </row>
  </sheetData>
  <sheetProtection algorithmName="SHA-512" hashValue="X8YsZmbDRIbg63DI9yJKuMwb/qsFMfY2CgTpQJjsOtIruP5u30JB2O7G5Ah/ow4v9rsdH6xPcp8WJA5106V7Cw==" saltValue="LP1/x8FLR6q9mGB0Mvx83g==" spinCount="100000" sheet="1" formatColumns="0" formatRows="0" insertColumns="0" insertRows="0"/>
  <mergeCells count="75">
    <mergeCell ref="C64:J64"/>
    <mergeCell ref="C9:G10"/>
    <mergeCell ref="H9:U10"/>
    <mergeCell ref="C11:G11"/>
    <mergeCell ref="H11:U11"/>
    <mergeCell ref="D57:J57"/>
    <mergeCell ref="O57:U57"/>
    <mergeCell ref="D58:J58"/>
    <mergeCell ref="O58:U58"/>
    <mergeCell ref="C60:U60"/>
    <mergeCell ref="D62:J62"/>
    <mergeCell ref="O62:U62"/>
    <mergeCell ref="D54:J54"/>
    <mergeCell ref="O54:U54"/>
    <mergeCell ref="D55:J55"/>
    <mergeCell ref="O55:U55"/>
    <mergeCell ref="D56:J56"/>
    <mergeCell ref="O56:U56"/>
    <mergeCell ref="D48:J48"/>
    <mergeCell ref="O48:U48"/>
    <mergeCell ref="D49:J49"/>
    <mergeCell ref="O49:U49"/>
    <mergeCell ref="C51:U51"/>
    <mergeCell ref="D53:J53"/>
    <mergeCell ref="O53:U53"/>
    <mergeCell ref="D45:J45"/>
    <mergeCell ref="O45:U45"/>
    <mergeCell ref="D46:J46"/>
    <mergeCell ref="O46:U46"/>
    <mergeCell ref="D47:J47"/>
    <mergeCell ref="O47:U47"/>
    <mergeCell ref="D44:J44"/>
    <mergeCell ref="O44:U44"/>
    <mergeCell ref="D33:J33"/>
    <mergeCell ref="O33:U33"/>
    <mergeCell ref="D34:J34"/>
    <mergeCell ref="O34:U34"/>
    <mergeCell ref="C36:U36"/>
    <mergeCell ref="D38:J38"/>
    <mergeCell ref="O38:U38"/>
    <mergeCell ref="D39:J39"/>
    <mergeCell ref="O39:U39"/>
    <mergeCell ref="D40:J40"/>
    <mergeCell ref="O40:U40"/>
    <mergeCell ref="C42:U42"/>
    <mergeCell ref="D32:J32"/>
    <mergeCell ref="O32:U32"/>
    <mergeCell ref="C22:U22"/>
    <mergeCell ref="D24:J24"/>
    <mergeCell ref="O24:U24"/>
    <mergeCell ref="D25:J25"/>
    <mergeCell ref="O25:U25"/>
    <mergeCell ref="D26:J26"/>
    <mergeCell ref="O26:U26"/>
    <mergeCell ref="C28:U28"/>
    <mergeCell ref="D30:J30"/>
    <mergeCell ref="O30:U30"/>
    <mergeCell ref="D31:J31"/>
    <mergeCell ref="O31:U31"/>
    <mergeCell ref="D18:J18"/>
    <mergeCell ref="O18:U18"/>
    <mergeCell ref="D19:J19"/>
    <mergeCell ref="O19:U19"/>
    <mergeCell ref="D20:J20"/>
    <mergeCell ref="O20:U20"/>
    <mergeCell ref="C14:U14"/>
    <mergeCell ref="D16:J16"/>
    <mergeCell ref="O16:U16"/>
    <mergeCell ref="D17:J17"/>
    <mergeCell ref="O17:U17"/>
    <mergeCell ref="C3:U3"/>
    <mergeCell ref="C5:U5"/>
    <mergeCell ref="C6:U6"/>
    <mergeCell ref="C7:U7"/>
    <mergeCell ref="O13:U13"/>
  </mergeCells>
  <dataValidations xWindow="1252" yWindow="868" count="3">
    <dataValidation allowBlank="1" showInputMessage="1" showErrorMessage="1" prompt="Type comments, evidence, and proposed actions" sqref="O62:U62 O30:U34 O16:U20 O44:U49 O24:U26 O38:U40 O53:U58"/>
    <dataValidation type="list" allowBlank="1" showInputMessage="1" showErrorMessage="1" prompt="Select answer from list" sqref="M62 M30:M34 M16:M20 M44:M49 M24:M26 M38:M40 M53:M58">
      <formula1>"Yes,In part,No"</formula1>
    </dataValidation>
    <dataValidation type="list" allowBlank="1" showInputMessage="1" showErrorMessage="1" sqref="M63:M64">
      <formula1>$X$2:$Z$2</formula1>
    </dataValidation>
  </dataValidations>
  <hyperlinks>
    <hyperlink ref="K25" r:id="rId1"/>
    <hyperlink ref="K26" r:id="rId2"/>
    <hyperlink ref="K16" r:id="rId3"/>
    <hyperlink ref="K18" r:id="rId4"/>
    <hyperlink ref="K19" r:id="rId5"/>
    <hyperlink ref="K20" r:id="rId6"/>
    <hyperlink ref="K24" r:id="rId7"/>
    <hyperlink ref="K30" r:id="rId8"/>
    <hyperlink ref="K31" r:id="rId9"/>
    <hyperlink ref="K32" r:id="rId10"/>
    <hyperlink ref="K33" r:id="rId11"/>
    <hyperlink ref="K34" r:id="rId12"/>
    <hyperlink ref="K38" r:id="rId13" display="Q14 guidance"/>
    <hyperlink ref="K39" r:id="rId14"/>
    <hyperlink ref="K44" r:id="rId15"/>
    <hyperlink ref="K45" r:id="rId16"/>
    <hyperlink ref="K46" r:id="rId17"/>
    <hyperlink ref="K47" r:id="rId18"/>
    <hyperlink ref="K48" r:id="rId19"/>
    <hyperlink ref="K49" r:id="rId20"/>
    <hyperlink ref="K53" r:id="rId21"/>
    <hyperlink ref="K54" r:id="rId22"/>
    <hyperlink ref="K55" r:id="rId23"/>
    <hyperlink ref="K56" r:id="rId24"/>
    <hyperlink ref="K57" r:id="rId25"/>
    <hyperlink ref="K62" r:id="rId26"/>
    <hyperlink ref="K17" r:id="rId27"/>
    <hyperlink ref="K40" r:id="rId28"/>
    <hyperlink ref="K58" r:id="rId29"/>
    <hyperlink ref="C6:U6" r:id="rId30" display="Guidance on completion of this document can be found here. This guidance also includes examples of good practice and details further support available to assist governing bodies in addressing specific issues. Clicking on the individual questions below wil"/>
  </hyperlinks>
  <pageMargins left="0.70866141732283472" right="0.70866141732283472" top="0.74803149606299213" bottom="0.74803149606299213" header="0.31496062992125984" footer="0.31496062992125984"/>
  <pageSetup paperSize="9" scale="48" fitToHeight="0" orientation="portrait" cellComments="asDisplayed" r:id="rId31"/>
  <rowBreaks count="1" manualBreakCount="1">
    <brk id="4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pageSetUpPr fitToPage="1"/>
  </sheetPr>
  <dimension ref="A1:CI97"/>
  <sheetViews>
    <sheetView showGridLines="0" showRowColHeaders="0" topLeftCell="A26" zoomScale="80" zoomScaleNormal="80" workbookViewId="0">
      <selection activeCell="G53" sqref="G53"/>
    </sheetView>
  </sheetViews>
  <sheetFormatPr defaultColWidth="0" defaultRowHeight="0" customHeight="1" zeroHeight="1" x14ac:dyDescent="0.2"/>
  <cols>
    <col min="1" max="1" width="8" style="1" customWidth="1"/>
    <col min="2" max="2" width="2.5703125" style="1" customWidth="1"/>
    <col min="3" max="4" width="42.28515625" style="1" customWidth="1"/>
    <col min="5" max="5" width="12.28515625" style="1" customWidth="1"/>
    <col min="6" max="6" width="8" style="1" customWidth="1"/>
    <col min="7" max="7" width="18" style="1" customWidth="1"/>
    <col min="8" max="8" width="1.5703125" style="1" customWidth="1"/>
    <col min="9" max="9" width="36.5703125" style="1" customWidth="1"/>
    <col min="10" max="10" width="2.5703125" style="1" customWidth="1"/>
    <col min="11" max="11" width="9" style="1" customWidth="1"/>
    <col min="12" max="12" width="36.5703125" style="1" hidden="1" customWidth="1"/>
    <col min="13" max="13" width="8" style="1" hidden="1" customWidth="1"/>
    <col min="14" max="14" width="18" style="1" hidden="1" customWidth="1"/>
    <col min="15" max="15" width="1.5703125" style="1" hidden="1" customWidth="1"/>
    <col min="16" max="16" width="36.5703125" style="1" hidden="1" customWidth="1"/>
    <col min="17" max="17" width="8" style="1" hidden="1" customWidth="1"/>
    <col min="18" max="18" width="18" style="1" hidden="1" customWidth="1"/>
    <col min="19" max="19" width="1.5703125" style="1" hidden="1" customWidth="1"/>
    <col min="20" max="20" width="36.5703125" style="1" hidden="1" customWidth="1"/>
    <col min="21" max="21" width="8" style="1" hidden="1" customWidth="1"/>
    <col min="22" max="22" width="18" style="1" hidden="1" customWidth="1"/>
    <col min="23" max="23" width="1.5703125" style="1" hidden="1" customWidth="1"/>
    <col min="24" max="24" width="36.5703125" style="1" hidden="1" customWidth="1"/>
    <col min="25" max="25" width="8" style="1" hidden="1" customWidth="1"/>
    <col min="26" max="26" width="18" style="1" hidden="1" customWidth="1"/>
    <col min="27" max="27" width="1.5703125" style="1" hidden="1" customWidth="1"/>
    <col min="28" max="28" width="36.5703125" style="1" hidden="1" customWidth="1"/>
    <col min="29" max="29" width="8" style="1" hidden="1" customWidth="1"/>
    <col min="30" max="30" width="18" style="1" hidden="1" customWidth="1"/>
    <col min="31" max="31" width="1.5703125" style="1" hidden="1" customWidth="1"/>
    <col min="32" max="32" width="36.5703125" style="1" hidden="1" customWidth="1"/>
    <col min="33" max="33" width="8" style="1" hidden="1" customWidth="1"/>
    <col min="34" max="34" width="18" style="1" hidden="1" customWidth="1"/>
    <col min="35" max="35" width="1.5703125" style="1" hidden="1" customWidth="1"/>
    <col min="36" max="36" width="36.5703125" style="1" hidden="1" customWidth="1"/>
    <col min="37" max="37" width="8" style="1" hidden="1" customWidth="1"/>
    <col min="38" max="38" width="18" style="1" hidden="1" customWidth="1"/>
    <col min="39" max="39" width="1.5703125" style="1" hidden="1" customWidth="1"/>
    <col min="40" max="40" width="36.5703125" style="1" hidden="1" customWidth="1"/>
    <col min="41" max="41" width="8" style="1" hidden="1" customWidth="1"/>
    <col min="42" max="42" width="18" style="1" hidden="1" customWidth="1"/>
    <col min="43" max="43" width="1.5703125" style="1" hidden="1" customWidth="1"/>
    <col min="44" max="44" width="36.5703125" style="1" hidden="1" customWidth="1"/>
    <col min="45" max="45" width="8" style="1" hidden="1" customWidth="1"/>
    <col min="46" max="46" width="18" style="1" hidden="1" customWidth="1"/>
    <col min="47" max="47" width="1.5703125" style="1" hidden="1" customWidth="1"/>
    <col min="48" max="48" width="36.5703125" style="1" hidden="1" customWidth="1"/>
    <col min="49" max="49" width="8" style="1" hidden="1" customWidth="1"/>
    <col min="50" max="50" width="18" style="1" hidden="1" customWidth="1"/>
    <col min="51" max="51" width="1.5703125" style="1" hidden="1" customWidth="1"/>
    <col min="52" max="52" width="36.5703125" style="1" hidden="1" customWidth="1"/>
    <col min="53" max="53" width="8" style="1" hidden="1" customWidth="1"/>
    <col min="54" max="54" width="18" style="1" hidden="1" customWidth="1"/>
    <col min="55" max="55" width="1.5703125" style="1" hidden="1" customWidth="1"/>
    <col min="56" max="56" width="36.5703125" style="1" hidden="1" customWidth="1"/>
    <col min="57" max="57" width="8" style="1" hidden="1" customWidth="1"/>
    <col min="58" max="58" width="18" style="1" hidden="1" customWidth="1"/>
    <col min="59" max="59" width="1.5703125" style="1" hidden="1" customWidth="1"/>
    <col min="60" max="60" width="36.5703125" style="1" hidden="1" customWidth="1"/>
    <col min="61" max="61" width="8" style="1" hidden="1" customWidth="1"/>
    <col min="62" max="62" width="18" style="1" hidden="1" customWidth="1"/>
    <col min="63" max="63" width="1.5703125" style="1" hidden="1" customWidth="1"/>
    <col min="64" max="64" width="36.5703125" style="1" hidden="1" customWidth="1"/>
    <col min="65" max="65" width="8" style="1" hidden="1" customWidth="1"/>
    <col min="66" max="66" width="18" style="1" hidden="1" customWidth="1"/>
    <col min="67" max="67" width="1.5703125" style="1" hidden="1" customWidth="1"/>
    <col min="68" max="68" width="36.5703125" style="1" hidden="1" customWidth="1"/>
    <col min="69" max="69" width="8" style="1" hidden="1" customWidth="1"/>
    <col min="70" max="70" width="18" style="1" hidden="1" customWidth="1"/>
    <col min="71" max="71" width="1.5703125" style="1" hidden="1" customWidth="1"/>
    <col min="72" max="72" width="36.5703125" style="1" hidden="1" customWidth="1"/>
    <col min="73" max="73" width="8" style="1" hidden="1" customWidth="1"/>
    <col min="74" max="74" width="18" style="1" hidden="1" customWidth="1"/>
    <col min="75" max="75" width="1.5703125" style="1" hidden="1" customWidth="1"/>
    <col min="76" max="76" width="36.5703125" style="1" hidden="1" customWidth="1"/>
    <col min="77" max="77" width="8" style="1" hidden="1" customWidth="1"/>
    <col min="78" max="78" width="18" style="1" hidden="1" customWidth="1"/>
    <col min="79" max="79" width="1.5703125" style="1" hidden="1" customWidth="1"/>
    <col min="80" max="80" width="36.5703125" style="1" hidden="1" customWidth="1"/>
    <col min="81" max="81" width="8" style="1" hidden="1" customWidth="1"/>
    <col min="82" max="82" width="18" style="1" hidden="1" customWidth="1"/>
    <col min="83" max="83" width="1.5703125" style="1" hidden="1" customWidth="1"/>
    <col min="84" max="84" width="36.5703125" style="1" hidden="1" customWidth="1"/>
    <col min="85" max="87" width="0" style="1" hidden="1" customWidth="1"/>
    <col min="88" max="16384" width="9" style="1" hidden="1"/>
  </cols>
  <sheetData>
    <row r="1" spans="1:10" ht="14.25" customHeight="1" thickBot="1" x14ac:dyDescent="0.25"/>
    <row r="2" spans="1:10" ht="13.5" customHeight="1" x14ac:dyDescent="0.2">
      <c r="B2" s="2"/>
      <c r="C2" s="3"/>
      <c r="D2" s="3"/>
      <c r="E2" s="3"/>
      <c r="F2" s="3"/>
      <c r="G2" s="3"/>
      <c r="H2" s="3"/>
      <c r="I2" s="3"/>
      <c r="J2" s="4"/>
    </row>
    <row r="3" spans="1:10" ht="24.95" customHeight="1" x14ac:dyDescent="0.2">
      <c r="B3" s="6"/>
      <c r="C3" s="288" t="s">
        <v>330</v>
      </c>
      <c r="D3" s="288"/>
      <c r="E3" s="288"/>
      <c r="F3" s="288"/>
      <c r="G3" s="288"/>
      <c r="H3" s="288"/>
      <c r="I3" s="288"/>
      <c r="J3" s="7"/>
    </row>
    <row r="4" spans="1:10" ht="14.85" customHeight="1" x14ac:dyDescent="0.2">
      <c r="B4" s="6"/>
      <c r="C4" s="5"/>
      <c r="D4" s="5"/>
      <c r="E4" s="5"/>
      <c r="F4" s="5"/>
      <c r="G4" s="5"/>
      <c r="H4" s="5"/>
      <c r="I4" s="5"/>
      <c r="J4" s="7"/>
    </row>
    <row r="5" spans="1:10" ht="106.5" customHeight="1" x14ac:dyDescent="0.2">
      <c r="B5" s="6"/>
      <c r="C5" s="304" t="s">
        <v>332</v>
      </c>
      <c r="D5" s="305"/>
      <c r="E5" s="305"/>
      <c r="F5" s="305"/>
      <c r="G5" s="305"/>
      <c r="H5" s="305"/>
      <c r="I5" s="306"/>
      <c r="J5" s="7"/>
    </row>
    <row r="6" spans="1:10" ht="14.85" customHeight="1" x14ac:dyDescent="0.2">
      <c r="B6" s="6"/>
      <c r="C6" s="5"/>
      <c r="D6" s="5"/>
      <c r="E6" s="5"/>
      <c r="F6" s="5"/>
      <c r="G6" s="5"/>
      <c r="H6" s="5"/>
      <c r="I6" s="5"/>
      <c r="J6" s="7"/>
    </row>
    <row r="7" spans="1:10" ht="74.650000000000006" customHeight="1" x14ac:dyDescent="0.2">
      <c r="B7" s="6"/>
      <c r="C7" s="289" t="s">
        <v>331</v>
      </c>
      <c r="D7" s="290"/>
      <c r="E7" s="290"/>
      <c r="F7" s="290"/>
      <c r="G7" s="290"/>
      <c r="H7" s="290"/>
      <c r="I7" s="291"/>
      <c r="J7" s="7"/>
    </row>
    <row r="8" spans="1:10" ht="36.75" customHeight="1" x14ac:dyDescent="0.2">
      <c r="B8" s="6"/>
      <c r="C8" s="292" t="s">
        <v>225</v>
      </c>
      <c r="D8" s="293"/>
      <c r="E8" s="293"/>
      <c r="F8" s="293"/>
      <c r="G8" s="293"/>
      <c r="H8" s="293"/>
      <c r="I8" s="294"/>
      <c r="J8" s="7"/>
    </row>
    <row r="9" spans="1:10" ht="37.5" customHeight="1" x14ac:dyDescent="0.2">
      <c r="B9" s="6"/>
      <c r="C9" s="295" t="s">
        <v>344</v>
      </c>
      <c r="D9" s="296"/>
      <c r="E9" s="296"/>
      <c r="F9" s="296"/>
      <c r="G9" s="296"/>
      <c r="H9" s="296"/>
      <c r="I9" s="297"/>
      <c r="J9" s="7"/>
    </row>
    <row r="10" spans="1:10" ht="14.85" customHeight="1" x14ac:dyDescent="0.2">
      <c r="B10" s="6"/>
      <c r="C10" s="5"/>
      <c r="D10" s="5"/>
      <c r="E10" s="5"/>
      <c r="F10" s="5"/>
      <c r="G10" s="5"/>
      <c r="H10" s="5"/>
      <c r="I10" s="5"/>
      <c r="J10" s="7"/>
    </row>
    <row r="11" spans="1:10" ht="52.5" customHeight="1" x14ac:dyDescent="0.2">
      <c r="B11" s="6"/>
      <c r="C11" s="298" t="s">
        <v>239</v>
      </c>
      <c r="D11" s="299"/>
      <c r="E11" s="299"/>
      <c r="F11" s="299"/>
      <c r="G11" s="299"/>
      <c r="H11" s="299"/>
      <c r="I11" s="300"/>
      <c r="J11" s="7"/>
    </row>
    <row r="12" spans="1:10" ht="14.85" customHeight="1" x14ac:dyDescent="0.2">
      <c r="B12" s="6"/>
      <c r="C12" s="5"/>
      <c r="D12" s="5"/>
      <c r="E12" s="5"/>
      <c r="F12" s="5"/>
      <c r="G12" s="5"/>
      <c r="H12" s="5"/>
      <c r="I12" s="5"/>
      <c r="J12" s="7"/>
    </row>
    <row r="13" spans="1:10" ht="17.100000000000001" customHeight="1" x14ac:dyDescent="0.2">
      <c r="B13" s="6"/>
      <c r="C13" s="307" t="s">
        <v>335</v>
      </c>
      <c r="D13" s="307"/>
      <c r="E13" s="307"/>
      <c r="F13" s="130"/>
      <c r="G13" s="130"/>
      <c r="H13" s="139"/>
      <c r="I13" s="139"/>
      <c r="J13" s="7"/>
    </row>
    <row r="14" spans="1:10" s="149" customFormat="1" ht="14.65" customHeight="1" x14ac:dyDescent="0.2">
      <c r="A14" s="149" t="s">
        <v>234</v>
      </c>
      <c r="B14" s="146"/>
      <c r="C14" s="147"/>
      <c r="D14" s="147"/>
      <c r="E14" s="147"/>
      <c r="F14" s="147"/>
      <c r="G14" s="147">
        <v>1</v>
      </c>
      <c r="H14" s="147"/>
      <c r="I14" s="147"/>
      <c r="J14" s="148"/>
    </row>
    <row r="15" spans="1:10" ht="17.100000000000001" customHeight="1" x14ac:dyDescent="0.2">
      <c r="B15" s="6"/>
      <c r="C15" s="191" t="s">
        <v>6</v>
      </c>
      <c r="D15" s="213" t="s">
        <v>345</v>
      </c>
      <c r="F15" s="321" t="s">
        <v>334</v>
      </c>
      <c r="G15" s="322"/>
      <c r="H15" s="322"/>
      <c r="I15" s="323"/>
      <c r="J15" s="8"/>
    </row>
    <row r="16" spans="1:10" ht="17.100000000000001" customHeight="1" x14ac:dyDescent="0.2">
      <c r="B16" s="6"/>
      <c r="C16" s="191" t="s">
        <v>333</v>
      </c>
      <c r="D16" s="214" t="s">
        <v>346</v>
      </c>
      <c r="F16" s="218"/>
      <c r="G16" s="219"/>
      <c r="H16" s="219"/>
      <c r="I16" s="220"/>
      <c r="J16" s="8"/>
    </row>
    <row r="17" spans="2:10" ht="17.100000000000001" customHeight="1" x14ac:dyDescent="0.2">
      <c r="B17" s="6"/>
      <c r="C17" s="191" t="s">
        <v>17</v>
      </c>
      <c r="D17" s="214" t="s">
        <v>21</v>
      </c>
      <c r="F17" s="292" t="s">
        <v>343</v>
      </c>
      <c r="G17" s="293"/>
      <c r="H17" s="293"/>
      <c r="I17" s="294"/>
      <c r="J17" s="8"/>
    </row>
    <row r="18" spans="2:10" ht="17.100000000000001" customHeight="1" x14ac:dyDescent="0.2">
      <c r="B18" s="6"/>
      <c r="C18" s="191" t="s">
        <v>18</v>
      </c>
      <c r="D18" s="214" t="s">
        <v>348</v>
      </c>
      <c r="F18" s="292"/>
      <c r="G18" s="293"/>
      <c r="H18" s="293"/>
      <c r="I18" s="294"/>
      <c r="J18" s="8"/>
    </row>
    <row r="19" spans="2:10" ht="17.100000000000001" customHeight="1" x14ac:dyDescent="0.2">
      <c r="B19" s="6"/>
      <c r="C19" s="191" t="s">
        <v>19</v>
      </c>
      <c r="D19" s="214">
        <v>517</v>
      </c>
      <c r="F19" s="292"/>
      <c r="G19" s="293"/>
      <c r="H19" s="293"/>
      <c r="I19" s="294"/>
      <c r="J19" s="8"/>
    </row>
    <row r="20" spans="2:10" ht="17.100000000000001" customHeight="1" x14ac:dyDescent="0.2">
      <c r="B20" s="6"/>
      <c r="C20" s="192" t="s">
        <v>221</v>
      </c>
      <c r="D20" s="215">
        <v>1.2E-2</v>
      </c>
      <c r="F20" s="221"/>
      <c r="G20" s="222"/>
      <c r="H20" s="222"/>
      <c r="I20" s="223"/>
      <c r="J20" s="8"/>
    </row>
    <row r="21" spans="2:10" s="172" customFormat="1" ht="14.65" customHeight="1" x14ac:dyDescent="0.2">
      <c r="B21" s="173"/>
      <c r="F21" s="224"/>
      <c r="G21" s="225"/>
      <c r="H21" s="225"/>
      <c r="I21" s="226"/>
      <c r="J21" s="174"/>
    </row>
    <row r="22" spans="2:10" s="144" customFormat="1" ht="17.649999999999999" customHeight="1" x14ac:dyDescent="0.25">
      <c r="B22" s="142"/>
      <c r="C22" s="308" t="s">
        <v>224</v>
      </c>
      <c r="D22" s="308"/>
      <c r="E22" s="308"/>
      <c r="F22" s="227"/>
      <c r="G22" s="228"/>
      <c r="H22" s="228"/>
      <c r="I22" s="229"/>
      <c r="J22" s="143"/>
    </row>
    <row r="23" spans="2:10" ht="17.100000000000001" customHeight="1" x14ac:dyDescent="0.2">
      <c r="B23" s="6"/>
      <c r="C23" s="324" t="str">
        <f>IF(OR(D$17="",D$18="",D$19="",D$20=""),"",
"- "&amp;Calcs!$J29&amp;
IF(D17="Primary"," primary schools with ",IF(D17="Secondary with sixth form"," secondary schools with a sixth form with ",IF(D17="Secondary without sixth form"," secondary schools without a sixth form with ",IF(D17="Special","special schools",IF(D17="Alternative provision","alternative provision schools",IF(D17="All-through","all-through schools",IF(D17="Nursery","nursery schools","")))))))&amp;Calcs!$K29)</f>
        <v>- large primary schools with low levels of FSM</v>
      </c>
      <c r="D23" s="324"/>
      <c r="E23" s="212"/>
      <c r="F23" s="5"/>
      <c r="J23" s="7"/>
    </row>
    <row r="24" spans="2:10" ht="17.100000000000001" customHeight="1" x14ac:dyDescent="0.2">
      <c r="B24" s="6"/>
      <c r="C24" s="324" t="str">
        <f>IF(OR(D$17="",D$18="",D$19="",D$20=""),"",
IF(D17="Primary","- primary schools ",IF(D17="Secondary with sixth form","- secondary schools with a sixth form ",IF(D17="Secondary without sixth form","- secondary schools without a sixth form ",IF(D17="Special","- special schools ",IF(D17="Alternative provision","- alternative provision schools ",IF(D17="All-through","- all-through schools ",IF(D17="Nursery","- nursery schools ","")))))))&amp;Calcs!$I29&amp;" (for average teacher cost only)")</f>
        <v>- primary schools outside London (for average teacher cost only)</v>
      </c>
      <c r="D24" s="324"/>
      <c r="E24" s="212"/>
      <c r="F24" s="5"/>
      <c r="J24" s="7"/>
    </row>
    <row r="25" spans="2:10" ht="14.65" customHeight="1" x14ac:dyDescent="0.2">
      <c r="B25" s="6"/>
      <c r="F25" s="5"/>
      <c r="G25" s="138"/>
      <c r="H25" s="138"/>
      <c r="I25" s="138"/>
      <c r="J25" s="7"/>
    </row>
    <row r="26" spans="2:10" ht="15.4" customHeight="1" x14ac:dyDescent="0.2">
      <c r="B26" s="6"/>
      <c r="G26" s="302" t="s">
        <v>223</v>
      </c>
      <c r="H26" s="190"/>
      <c r="I26" s="303" t="s">
        <v>23</v>
      </c>
      <c r="J26" s="7"/>
    </row>
    <row r="27" spans="2:10" ht="15.4" customHeight="1" x14ac:dyDescent="0.2">
      <c r="B27" s="6"/>
      <c r="C27" s="5"/>
      <c r="D27" s="5"/>
      <c r="G27" s="302"/>
      <c r="H27" s="190"/>
      <c r="I27" s="303"/>
      <c r="J27" s="7"/>
    </row>
    <row r="28" spans="2:10" ht="17.100000000000001" customHeight="1" x14ac:dyDescent="0.2">
      <c r="B28" s="6"/>
      <c r="C28" s="311" t="s">
        <v>222</v>
      </c>
      <c r="D28" s="311"/>
      <c r="E28" s="311"/>
      <c r="F28" s="139"/>
      <c r="G28" s="139"/>
      <c r="H28" s="139"/>
      <c r="I28" s="139"/>
      <c r="J28" s="7"/>
    </row>
    <row r="29" spans="2:10" ht="4.1500000000000004" customHeight="1" x14ac:dyDescent="0.2">
      <c r="B29" s="6"/>
      <c r="C29" s="9"/>
      <c r="D29" s="9"/>
      <c r="E29" s="10"/>
      <c r="F29" s="10"/>
      <c r="G29" s="10"/>
      <c r="H29" s="10"/>
      <c r="I29" s="10"/>
      <c r="J29" s="7"/>
    </row>
    <row r="30" spans="2:10" ht="17.100000000000001" customHeight="1" x14ac:dyDescent="0.2">
      <c r="B30" s="6"/>
      <c r="C30" s="309" t="s">
        <v>24</v>
      </c>
      <c r="D30" s="310"/>
      <c r="E30" s="217" t="s">
        <v>60</v>
      </c>
      <c r="F30" s="36"/>
      <c r="G30" s="132">
        <f>IFERROR('Optional - input raw data'!F24/'Optional - input raw data'!F13,Calcs!$A$66)</f>
        <v>0.48081788778297574</v>
      </c>
      <c r="I30" s="137" t="str">
        <f ca="1">IF(OR(D$17="",D$18="",D$19="",D$20="",G30=""),"",
IF(G30&lt;=Calcs!C9,Lowest10,
IF(AND(G30&gt;Calcs!C9,G30&lt;=Calcs!D9),Lowest20,
IF(AND(G30&gt;Calcs!D9,G30&lt;=Calcs!E9),Inline,
IF(AND(G30&gt;Calcs!E9,G30&lt;=Calcs!G9),Middle20,
IF(AND(G30&gt;Calcs!G9,G30&lt;=Calcs!H9),Inline,
IF(AND(G30&gt;Calcs!H9,G30&lt;=Calcs!I9),Highest20,
IF(G30&gt;Calcs!I9,Highest10,""))))))))</f>
        <v>Middle 20% of similar schools</v>
      </c>
      <c r="J30" s="7"/>
    </row>
    <row r="31" spans="2:10" ht="17.100000000000001" customHeight="1" x14ac:dyDescent="0.2">
      <c r="B31" s="6"/>
      <c r="C31" s="309" t="s">
        <v>25</v>
      </c>
      <c r="D31" s="310"/>
      <c r="E31" s="217" t="s">
        <v>60</v>
      </c>
      <c r="F31" s="36"/>
      <c r="G31" s="133">
        <f>IFERROR(('Optional - input raw data'!F25+'Optional - input raw data'!F33+'Optional - input raw data'!F49)/'Optional - input raw data'!F13,Calcs!$A$66)</f>
        <v>3.1897658879720646E-2</v>
      </c>
      <c r="I31" s="137" t="str">
        <f ca="1">IF(OR(D$17="",D$18="",D$19="",D$20="",G31=""),"",
IF(G31&lt;=Calcs!E10,Inline,
IF(AND(G31&gt;Calcs!E10,G31&lt;=Calcs!G10),Middle20,
IF(AND(G31&gt;Calcs!G10,G31&lt;=Calcs!H10),Inline,
IF(AND(G31&gt;Calcs!H10,G31&lt;=Calcs!I10),Highest20,
IF(G31&gt;Calcs!I10,Highest10,""))))))</f>
        <v>Broadly in line with similar schools</v>
      </c>
      <c r="J31" s="7"/>
    </row>
    <row r="32" spans="2:10" ht="16.899999999999999" customHeight="1" x14ac:dyDescent="0.2">
      <c r="B32" s="6"/>
      <c r="C32" s="309" t="s">
        <v>26</v>
      </c>
      <c r="D32" s="310"/>
      <c r="E32" s="217" t="s">
        <v>60</v>
      </c>
      <c r="F32" s="36"/>
      <c r="G32" s="133">
        <f>IFERROR('Optional - input raw data'!F26/'Optional - input raw data'!F13,Calcs!$A$66)</f>
        <v>0.16125680310352733</v>
      </c>
      <c r="I32" s="137" t="str">
        <f ca="1">IF(OR(D$17="",D$18="",D$19="",D$20="",G32=""),"",
IF(G32&lt;=Calcs!E11,Inline,
IF(AND(G32&gt;Calcs!E11,G32&lt;=Calcs!G11),Middle20,
IF(AND(G32&gt;Calcs!G11,G32&lt;=Calcs!H11),Inline,
IF(AND(G32&gt;Calcs!H11,G32&lt;=Calcs!I11),Highest20,
IF(G32&gt;Calcs!I11,Highest10,""))))))</f>
        <v>Middle 20% of similar schools</v>
      </c>
      <c r="J32" s="7"/>
    </row>
    <row r="33" spans="2:10" ht="17.100000000000001" customHeight="1" x14ac:dyDescent="0.2">
      <c r="B33" s="6"/>
      <c r="C33" s="309" t="s">
        <v>27</v>
      </c>
      <c r="D33" s="310"/>
      <c r="E33" s="217" t="s">
        <v>60</v>
      </c>
      <c r="F33" s="36"/>
      <c r="G33" s="132">
        <f>IFERROR('Optional - input raw data'!F28/'Optional - input raw data'!F13,Calcs!$A$66)</f>
        <v>4.4623587744406973E-2</v>
      </c>
      <c r="I33" s="137" t="str">
        <f ca="1">IF(OR(D$17="",D$18="",D$19="",D$20="",G33=""),"",
IF(G33&lt;=Calcs!H12,Inline,
IF(AND(G33&gt;Calcs!H12,G33&lt;=Calcs!I12),Highest20,
IF(G33&gt;Calcs!I12,Highest10,""))))</f>
        <v>Broadly in line with similar schools</v>
      </c>
      <c r="J33" s="7"/>
    </row>
    <row r="34" spans="2:10" ht="17.100000000000001" customHeight="1" x14ac:dyDescent="0.2">
      <c r="B34" s="6"/>
      <c r="C34" s="309" t="s">
        <v>28</v>
      </c>
      <c r="D34" s="310"/>
      <c r="E34" s="217" t="s">
        <v>60</v>
      </c>
      <c r="F34" s="36"/>
      <c r="G34" s="133">
        <f>IFERROR(SUM('Optional - input raw data'!F30,'Optional - input raw data'!F31,'Optional - input raw data'!F32,'Optional - input raw data'!F34)/'Optional - input raw data'!F13,Calcs!$A$66)</f>
        <v>3.3193887843059981E-2</v>
      </c>
      <c r="I34" s="137" t="str">
        <f ca="1">IF(OR(D$17="",D$18="",D$19="",D$20="",G34=""),"",
IF(G34&lt;=Calcs!H13,Inline,
IF(AND(G34&gt;Calcs!H13,G34&lt;=Calcs!I13),Highest20,
IF(G34&gt;Calcs!I13,Highest10,""))))</f>
        <v>Broadly in line with similar schools</v>
      </c>
      <c r="J34" s="7"/>
    </row>
    <row r="35" spans="2:10" ht="17.100000000000001" customHeight="1" x14ac:dyDescent="0.2">
      <c r="B35" s="6"/>
      <c r="C35" s="309" t="s">
        <v>29</v>
      </c>
      <c r="D35" s="310"/>
      <c r="E35" s="217" t="s">
        <v>60</v>
      </c>
      <c r="F35" s="36"/>
      <c r="G35" s="133">
        <f>IFERROR(SUM('Optional - input raw data'!F27,'Optional - input raw data'!F35,'Optional - input raw data'!F36,'Optional - input raw data'!F37)/'Optional - input raw data'!F13,Calcs!$A$66)</f>
        <v>6.3576187028079212E-2</v>
      </c>
      <c r="I35" s="137" t="str">
        <f ca="1">IF(OR(D$17="",D$18="",D$19="",D$20="",G35=""),"",
IF(G35&lt;=Calcs!H14,Inline,
IF(AND(G35&gt;Calcs!H14,G35&lt;=Calcs!I14),Highest20,
IF(G35&gt;Calcs!I14,Highest10,""))))</f>
        <v>Highest 20% of similar schools</v>
      </c>
      <c r="J35" s="7"/>
    </row>
    <row r="36" spans="2:10" ht="17.100000000000001" customHeight="1" x14ac:dyDescent="0.2">
      <c r="B36" s="6"/>
      <c r="C36" s="309" t="s">
        <v>57</v>
      </c>
      <c r="D36" s="310"/>
      <c r="E36" s="217" t="s">
        <v>60</v>
      </c>
      <c r="F36" s="36"/>
      <c r="G36" s="132">
        <f>IFERROR(SUM('Optional - input raw data'!F42,'Optional - input raw data'!F43,'Optional - input raw data'!F44)/'Optional - input raw data'!F13,Calcs!$A$66)</f>
        <v>4.5093658506844964E-2</v>
      </c>
      <c r="I36" s="137" t="str">
        <f ca="1">IF(OR(D$17="",D$18="",D$19="",D$20="",G36=""),"",
IF(G36&lt;=Calcs!C15,Lowest10,
IF(AND(G36&gt;Calcs!C15,G36&lt;=Calcs!D15),Lowest20,
IF(AND(G36&gt;Calcs!D15,G36&lt;=Calcs!E15),Inline,
IF(AND(G36&gt;Calcs!E15,G36&lt;=Calcs!G15),Middle20,
IF(G36&gt;Calcs!G15,Inline,""))))))</f>
        <v>Middle 20% of similar schools</v>
      </c>
      <c r="J36" s="7"/>
    </row>
    <row r="37" spans="2:10" ht="17.100000000000001" customHeight="1" x14ac:dyDescent="0.2">
      <c r="B37" s="6"/>
      <c r="C37" s="309" t="s">
        <v>31</v>
      </c>
      <c r="D37" s="310"/>
      <c r="E37" s="217" t="s">
        <v>60</v>
      </c>
      <c r="F37" s="36"/>
      <c r="G37" s="133">
        <f>IFERROR('Optional - input raw data'!F39/'Optional - input raw data'!F13,Calcs!$A$66)</f>
        <v>1.4818715708359969E-2</v>
      </c>
      <c r="I37" s="137" t="str">
        <f ca="1">IF(OR(D$17="",D$18="",D$19="",D$20="",G37=""),"",
IF(G37&lt;=Calcs!H16,Inline,
IF(AND(G37&gt;Calcs!H16,G37&lt;=Calcs!I16),Highest20,
IF(G37&gt;Calcs!I16,Highest10,""))))</f>
        <v>Broadly in line with similar schools</v>
      </c>
      <c r="J37" s="7"/>
    </row>
    <row r="38" spans="2:10" ht="17.100000000000001" customHeight="1" x14ac:dyDescent="0.2">
      <c r="B38" s="6"/>
      <c r="C38" s="309" t="s">
        <v>30</v>
      </c>
      <c r="D38" s="310"/>
      <c r="E38" s="217" t="s">
        <v>60</v>
      </c>
      <c r="F38" s="36"/>
      <c r="G38" s="133">
        <f>IFERROR(SUM('Optional - input raw data'!F29,'Optional - input raw data'!F38,'Optional - input raw data'!F40,'Optional - input raw data'!F41,'Optional - input raw data'!F45,'Optional - input raw data'!F46,'Optional - input raw data'!F47,'Optional - input raw data'!F48,'Optional - input raw data'!F50,'Optional - input raw data'!F51,'Optional - input raw data'!F52,'Optional - input raw data'!F53,'Optional - input raw data'!F54,'Optional - input raw data'!F55)/'Optional - input raw data'!F13,Calcs!$A$66)</f>
        <v>0.12472249699468387</v>
      </c>
      <c r="I38" s="137" t="str">
        <f>IF(OR(D$17="",D$18="",D$19="",D$20="",G38=""),"","N/A")</f>
        <v>N/A</v>
      </c>
      <c r="J38" s="7"/>
    </row>
    <row r="39" spans="2:10" ht="15.75" x14ac:dyDescent="0.25">
      <c r="B39" s="6"/>
      <c r="C39" s="9"/>
      <c r="D39" s="9"/>
      <c r="E39" s="9"/>
      <c r="F39" s="9"/>
      <c r="G39" s="206" t="str">
        <f>IF(OR(ROUND(SUM(G30:G38),3)=100%,SUM(G30:G38)=0),"","Section must sum to 100%")</f>
        <v/>
      </c>
      <c r="H39" s="9"/>
      <c r="I39" s="9"/>
      <c r="J39" s="7"/>
    </row>
    <row r="40" spans="2:10" ht="17.100000000000001" customHeight="1" x14ac:dyDescent="0.2">
      <c r="B40" s="6"/>
      <c r="C40" s="301" t="s">
        <v>52</v>
      </c>
      <c r="D40" s="301"/>
      <c r="E40" s="301"/>
      <c r="F40" s="140"/>
      <c r="G40" s="188"/>
      <c r="H40" s="140"/>
      <c r="I40" s="183"/>
      <c r="J40" s="7"/>
    </row>
    <row r="41" spans="2:10" ht="4.1500000000000004" customHeight="1" x14ac:dyDescent="0.2">
      <c r="B41" s="6"/>
      <c r="C41" s="9"/>
      <c r="D41" s="9"/>
      <c r="E41" s="10"/>
      <c r="F41" s="10"/>
      <c r="G41" s="189"/>
      <c r="H41" s="10"/>
      <c r="I41" s="9"/>
      <c r="J41" s="7"/>
    </row>
    <row r="42" spans="2:10" ht="17.100000000000001" customHeight="1" x14ac:dyDescent="0.2">
      <c r="B42" s="6"/>
      <c r="C42" s="309" t="s">
        <v>32</v>
      </c>
      <c r="D42" s="310"/>
      <c r="E42" s="217" t="s">
        <v>60</v>
      </c>
      <c r="F42" s="128"/>
      <c r="G42" s="133">
        <f>IFERROR(('Optional - input raw data'!F14-'Optional - input raw data'!F13)/'Optional - input raw data'!F14,Calcs!$A$66)</f>
        <v>6.2819442285927023E-3</v>
      </c>
      <c r="I42" s="137" t="str">
        <f>IF(OR(D$17="",D$18="",D$19="",D$20="",G42=""),"",
IF(G42&lt;=-0.05,High,
IF(AND(G42&gt;-0.05,G42&lt;0),Medium,
IF(G42&gt;=0,Low,""))))</f>
        <v>Low risk</v>
      </c>
      <c r="J42" s="7"/>
    </row>
    <row r="43" spans="2:10" ht="17.100000000000001" customHeight="1" x14ac:dyDescent="0.2">
      <c r="B43" s="6"/>
      <c r="C43" s="309" t="s">
        <v>58</v>
      </c>
      <c r="D43" s="310"/>
      <c r="E43" s="217" t="s">
        <v>60</v>
      </c>
      <c r="F43" s="128"/>
      <c r="G43" s="133">
        <f>IFERROR('Optional - input raw data'!F15/'Optional - input raw data'!F14,Calcs!$A$66)</f>
        <v>9.2823858832082565E-2</v>
      </c>
      <c r="I43" s="137" t="str">
        <f>IF(OR(D$17="",D$18="",D$19="",D$20="",G43=""),"",
IF(G43&lt;=-0.05,High,
IF(AND(G43&gt;-0.05,G43&lt;0),Medium,
IF(G43&gt;=0,Low,""))))</f>
        <v>Low risk</v>
      </c>
      <c r="J43" s="7"/>
    </row>
    <row r="44" spans="2:10" ht="15" x14ac:dyDescent="0.2">
      <c r="B44" s="6"/>
      <c r="C44" s="9"/>
      <c r="D44" s="9"/>
      <c r="E44" s="9"/>
      <c r="F44" s="9"/>
      <c r="G44" s="189"/>
      <c r="H44" s="9"/>
      <c r="I44" s="9"/>
      <c r="J44" s="7"/>
    </row>
    <row r="45" spans="2:10" ht="17.100000000000001" customHeight="1" x14ac:dyDescent="0.2">
      <c r="B45" s="6"/>
      <c r="C45" s="301" t="s">
        <v>53</v>
      </c>
      <c r="D45" s="301"/>
      <c r="E45" s="301"/>
      <c r="F45" s="140"/>
      <c r="G45" s="188"/>
      <c r="H45" s="140"/>
      <c r="I45" s="183"/>
      <c r="J45" s="7"/>
    </row>
    <row r="46" spans="2:10" ht="3.75" customHeight="1" x14ac:dyDescent="0.2">
      <c r="B46" s="6"/>
      <c r="C46" s="9"/>
      <c r="D46" s="9"/>
      <c r="E46" s="10"/>
      <c r="F46" s="10"/>
      <c r="G46" s="189"/>
      <c r="H46" s="10"/>
      <c r="I46" s="9"/>
      <c r="J46" s="7"/>
    </row>
    <row r="47" spans="2:10" ht="17.100000000000001" customHeight="1" x14ac:dyDescent="0.2">
      <c r="B47" s="6"/>
      <c r="C47" s="309" t="s">
        <v>33</v>
      </c>
      <c r="D47" s="310"/>
      <c r="E47" s="217" t="s">
        <v>60</v>
      </c>
      <c r="F47" s="36"/>
      <c r="G47" s="134">
        <f>IFERROR('Optional - input raw data'!F24/'Optional - input raw data'!F9,Calcs!$A$66)</f>
        <v>44879.422680412368</v>
      </c>
      <c r="I47" s="137" t="str">
        <f ca="1">IF(OR(D$17="",D$18="",D$19="",D$20="",G47=""),"",
IF(G47&lt;=Calcs!C21,Lowest10,
IF(AND(G47&gt;Calcs!C21,G47&lt;=Calcs!D21),Lowest20,
IF(AND(G47&gt;Calcs!D21,G47&lt;=Calcs!E21),Inline,
IF(AND(G47&gt;Calcs!E21,G47&lt;=Calcs!G21),Middle20,
IF(AND(G47&gt;Calcs!G21,G47&lt;=Calcs!H21),Inline,
IF(AND(G47&gt;Calcs!H21,G47&lt;=Calcs!I21),Highest20,
IF(G47&gt;Calcs!I21,Highest10,""))))))))</f>
        <v>Lowest 20% of similar schools</v>
      </c>
      <c r="J47" s="7"/>
    </row>
    <row r="48" spans="2:10" ht="17.100000000000001" customHeight="1" x14ac:dyDescent="0.2">
      <c r="B48" s="6"/>
      <c r="C48" s="309" t="s">
        <v>34</v>
      </c>
      <c r="D48" s="310"/>
      <c r="E48" s="217" t="s">
        <v>60</v>
      </c>
      <c r="F48" s="36"/>
      <c r="G48" s="133">
        <f>IFERROR('Optional - input raw data'!F10/'Optional - input raw data'!F11,Calcs!$A$66)</f>
        <v>9.5634095634095626E-2</v>
      </c>
      <c r="I48" s="137" t="str">
        <f ca="1">IF(OR(D$17="",D$18="",D$19="",D$20="",G48=""),"",
IF(G48&lt;=Calcs!E17,Inline,
IF(AND(G48&gt;Calcs!E17,G48&lt;=Calcs!G17),Middle20,
IF(AND(G48&gt;Calcs!G17,G48&lt;=Calcs!H17),Inline,
IF(AND(G48&gt;Calcs!H17,G48&lt;=Calcs!I17),Highest20,
IF(G48&gt;Calcs!I17,Highest10,""))))))</f>
        <v>Highest 20% of similar schools</v>
      </c>
      <c r="J48" s="7"/>
    </row>
    <row r="49" spans="2:10" ht="17.100000000000001" customHeight="1" x14ac:dyDescent="0.2">
      <c r="B49" s="6"/>
      <c r="C49" s="309" t="s">
        <v>4</v>
      </c>
      <c r="D49" s="310"/>
      <c r="E49" s="217" t="s">
        <v>60</v>
      </c>
      <c r="F49" s="36"/>
      <c r="G49" s="135">
        <f>IFERROR(D19/'Optional - input raw data'!F9,Calcs!$A$66)</f>
        <v>21.319587628865978</v>
      </c>
      <c r="I49" s="137" t="str">
        <f ca="1">IF(OR(D$17="",D$18="",D$19="",D$20="",G49=""),"",
IF(G49&lt;=Calcs!C18,Lowest10,
IF(AND(G49&gt;Calcs!C18,G49&lt;=Calcs!D18),Lowest20,
IF(AND(G49&gt;Calcs!D18,G49&lt;=Calcs!E18),Inline,
IF(AND(G49&gt;Calcs!E18,G49&lt;=Calcs!G18),Middle20,
IF(AND(G49&gt;Calcs!G18,G49&lt;=Calcs!H18),Inline,
IF(AND(G49&gt;Calcs!H18,G49&lt;=Calcs!I18),Highest20,
IF(G49&gt;Calcs!I18,Highest10,""))))))))</f>
        <v>Lowest 20% of similar schools</v>
      </c>
      <c r="J49" s="7"/>
    </row>
    <row r="50" spans="2:10" ht="17.100000000000001" customHeight="1" x14ac:dyDescent="0.2">
      <c r="B50" s="6"/>
      <c r="C50" s="309" t="s">
        <v>14</v>
      </c>
      <c r="D50" s="310"/>
      <c r="E50" s="217" t="s">
        <v>60</v>
      </c>
      <c r="F50" s="36"/>
      <c r="G50" s="135">
        <f>IFERROR(D19/'Optional - input raw data'!F11,Calcs!$A$66)</f>
        <v>10.748440748440748</v>
      </c>
      <c r="I50" s="137" t="str">
        <f ca="1">IF(OR(D$17="",D$18="",D$19="",D$20="",G50=""),"",
IF(G50&lt;=Calcs!C19,Lowest10,
IF(AND(G50&gt;Calcs!C19,G50&lt;=Calcs!D19),Lowest20,
IF(AND(G50&gt;Calcs!D19,G50&lt;=Calcs!E19),Inline,
IF(AND(G50&gt;Calcs!E19,G50&lt;=Calcs!G19),Middle20,
IF(AND(G50&gt;Calcs!G19,G50&lt;=Calcs!H19),Inline,
IF(AND(G50&gt;Calcs!H19,G50&lt;=Calcs!I19),Highest20,
IF(G50&gt;Calcs!I19,Highest10,""))))))))</f>
        <v>Broadly in line with similar schools</v>
      </c>
      <c r="J50" s="7"/>
    </row>
    <row r="51" spans="2:10" ht="17.100000000000001" customHeight="1" x14ac:dyDescent="0.2">
      <c r="B51" s="6"/>
      <c r="C51" s="309" t="s">
        <v>35</v>
      </c>
      <c r="D51" s="310"/>
      <c r="E51" s="184" t="s">
        <v>60</v>
      </c>
      <c r="F51" s="36"/>
      <c r="G51" s="136">
        <f>IFERROR(IF(D17=Calcs!$A$62,('Optional - input raw data'!F22/'Optional - input raw data'!F9),IF(OR(D17=Calcs!$A$63,D17=Calcs!$A$64,D17=Calcs!$A$65),('Optional - input raw data'!F19/('Optional - input raw data'!F18*'Optional - input raw data'!F9)),Calcs!$A$66)),Calcs!$A$66)</f>
        <v>0.82474226804123707</v>
      </c>
      <c r="I51" s="137" t="str">
        <f>IF(OR(D$17="",D$18="",D$19="",D$20="",G51=""),"",
IF(G51&lt;=0.7,Muchlower,
IF(AND(G51&gt;0.7,G51&lt;=0.74),Lower,
IF(AND(G51&gt;0.74,G51&lt;=0.8),Inline2,
IF(AND(G51&gt;0.8,G51&lt;=0.82),Higher,
IF(G51&gt;0.82,Muchhigher,""))))))</f>
        <v>Much higher than recommended</v>
      </c>
      <c r="J51" s="7"/>
    </row>
    <row r="52" spans="2:10" ht="17.100000000000001" customHeight="1" x14ac:dyDescent="0.2">
      <c r="B52" s="6"/>
      <c r="C52" s="309" t="s">
        <v>36</v>
      </c>
      <c r="D52" s="310"/>
      <c r="E52" s="217" t="s">
        <v>60</v>
      </c>
      <c r="F52" s="36"/>
      <c r="G52" s="133">
        <v>-0.1</v>
      </c>
      <c r="I52" s="137" t="str">
        <f>IF(OR(D$17="",D$18="",D$19="",D$20="",G52=""),"",
IF(G52&lt;=-0.1,High,
IF(AND(G52&gt;-0.1,G52&lt;=-0.02),Medium,
IF(G52&gt;=-0.02,Low,""))))</f>
        <v>High risk</v>
      </c>
      <c r="J52" s="7"/>
    </row>
    <row r="53" spans="2:10" ht="17.100000000000001" customHeight="1" x14ac:dyDescent="0.2">
      <c r="B53" s="6"/>
      <c r="C53" s="309" t="s">
        <v>0</v>
      </c>
      <c r="D53" s="310"/>
      <c r="E53" s="184" t="s">
        <v>60</v>
      </c>
      <c r="F53" s="36"/>
      <c r="G53" s="135">
        <v>26</v>
      </c>
      <c r="I53" s="137" t="str">
        <f ca="1">IF(OR(D$17="",D$18="",D$19="",D$20="",G53=""),"",
IF(G53&lt;=Calcs!C20,Lowest10,
IF(AND(G53&gt;Calcs!C20,G53&lt;=Calcs!D20),Lowest20,
IF(AND(G53&gt;Calcs!D20,G53&lt;=Calcs!E20),Inline,
IF(AND(G53&gt;Calcs!E20,G53&lt;=Calcs!G20),Middle20,
IF(AND(G53&gt;Calcs!G20,G53&lt;=Calcs!H20),Inline,
IF(AND(G53&gt;Calcs!H20,G53&lt;=Calcs!I20),Highest20,
IF(G53&gt;Calcs!I20,Highest10,""))))))))</f>
        <v>Lowest 10% of similar schools</v>
      </c>
      <c r="J53" s="7"/>
    </row>
    <row r="54" spans="2:10" ht="15" x14ac:dyDescent="0.2">
      <c r="B54" s="6"/>
      <c r="C54" s="9"/>
      <c r="D54" s="9"/>
      <c r="E54" s="9"/>
      <c r="F54" s="9"/>
      <c r="G54" s="189"/>
      <c r="H54" s="9"/>
      <c r="I54" s="9"/>
      <c r="J54" s="7"/>
    </row>
    <row r="55" spans="2:10" ht="17.100000000000001" customHeight="1" x14ac:dyDescent="0.2">
      <c r="B55" s="6"/>
      <c r="C55" s="301" t="s">
        <v>54</v>
      </c>
      <c r="D55" s="301"/>
      <c r="E55" s="301"/>
      <c r="F55" s="140"/>
      <c r="G55" s="188"/>
      <c r="H55" s="140"/>
      <c r="I55" s="183"/>
      <c r="J55" s="7"/>
    </row>
    <row r="56" spans="2:10" ht="4.1500000000000004" customHeight="1" x14ac:dyDescent="0.2">
      <c r="B56" s="6"/>
      <c r="C56" s="9"/>
      <c r="D56" s="9"/>
      <c r="E56" s="10"/>
      <c r="F56" s="10"/>
      <c r="G56" s="189"/>
      <c r="H56" s="10"/>
      <c r="I56" s="9"/>
      <c r="J56" s="7"/>
    </row>
    <row r="57" spans="2:10" ht="17.100000000000001" customHeight="1" x14ac:dyDescent="0.2">
      <c r="B57" s="6"/>
      <c r="C57" s="309" t="s">
        <v>7</v>
      </c>
      <c r="D57" s="310"/>
      <c r="E57" s="217" t="s">
        <v>60</v>
      </c>
      <c r="F57" s="36"/>
      <c r="G57" s="141" t="s">
        <v>127</v>
      </c>
      <c r="I57" s="137" t="str">
        <f ca="1">IF(OR(D$17="",D$18="",D$19="",D$20="",G57=""),"",INDIRECT(G57))</f>
        <v>Good</v>
      </c>
      <c r="J57" s="7"/>
    </row>
    <row r="58" spans="2:10" ht="17.100000000000001" customHeight="1" x14ac:dyDescent="0.2">
      <c r="B58" s="6"/>
      <c r="C58" s="309" t="s">
        <v>8</v>
      </c>
      <c r="D58" s="310"/>
      <c r="E58" s="184" t="s">
        <v>60</v>
      </c>
      <c r="F58" s="36"/>
      <c r="G58" s="135"/>
      <c r="I58" s="137" t="str">
        <f>IF(OR(D$17="",D$18="",D$19="",D$20="",G58=""),"",
IF(G58&gt;=0.5,Wellabove,
IF(AND(G58&gt;=0,G58&lt;0.5),Average,
IF(AND(G58&gt;=-0.5,G58&lt;0),Below,
IF(G58&lt;-0.5,Wellbelow,"")))))</f>
        <v/>
      </c>
      <c r="J58" s="7"/>
    </row>
    <row r="59" spans="2:10" ht="17.100000000000001" customHeight="1" x14ac:dyDescent="0.2">
      <c r="B59" s="6"/>
      <c r="C59" s="309" t="s">
        <v>9</v>
      </c>
      <c r="D59" s="310"/>
      <c r="E59" s="184" t="s">
        <v>60</v>
      </c>
      <c r="F59" s="36"/>
      <c r="G59" s="135">
        <v>-2</v>
      </c>
      <c r="I59" s="137" t="str">
        <f>IF(OR(D$17="",D$18="",D$19="",D$20="",G59=""),"",
IF(G59&gt;=3.1,Wellabove,
IF(AND(G59&gt;=0,G59&lt;3.1),Average,
IF(AND(G59&gt;=-2.8,G59&lt;0),Below,
IF(G59&lt;-2.8,Wellbelow,"")))))</f>
        <v>Below average</v>
      </c>
      <c r="J59" s="7"/>
    </row>
    <row r="60" spans="2:10" ht="17.100000000000001" customHeight="1" x14ac:dyDescent="0.2">
      <c r="B60" s="6"/>
      <c r="C60" s="309" t="s">
        <v>10</v>
      </c>
      <c r="D60" s="310"/>
      <c r="E60" s="184" t="s">
        <v>60</v>
      </c>
      <c r="F60" s="36"/>
      <c r="G60" s="135">
        <v>-3.5</v>
      </c>
      <c r="I60" s="137" t="str">
        <f>IF(OR(D$17="",D$18="",D$19="",D$20="",G60=""),"",
IF(G60&gt;=2.7,Wellabove,
IF(AND(G60&gt;=0,G60&lt;2.7),Average,
IF(AND(G60&gt;=-2.6,G60&lt;0),Below,
IF(G60&lt;-2.6,Wellbelow,"")))))</f>
        <v>Well below average</v>
      </c>
      <c r="J60" s="7"/>
    </row>
    <row r="61" spans="2:10" ht="17.100000000000001" customHeight="1" x14ac:dyDescent="0.2">
      <c r="B61" s="6"/>
      <c r="C61" s="309" t="s">
        <v>11</v>
      </c>
      <c r="D61" s="310"/>
      <c r="E61" s="184" t="s">
        <v>60</v>
      </c>
      <c r="F61" s="36"/>
      <c r="G61" s="135">
        <v>-3</v>
      </c>
      <c r="I61" s="137" t="str">
        <f>IF(OR(D$17="",D$18="",D$19="",D$20="",G61=""),"",
IF(G61&gt;=3.2,Wellabove,
IF(AND(G61&gt;=0,G61&lt;3.2),Average,
IF(AND(G61&gt;=-3.2,G61&lt;0),Below,
IF(G61&lt;-3.2,Wellbelow,"")))))</f>
        <v>Below average</v>
      </c>
      <c r="J61" s="7"/>
    </row>
    <row r="62" spans="2:10" ht="17.100000000000001" customHeight="1" x14ac:dyDescent="0.2">
      <c r="B62" s="6"/>
      <c r="C62" s="36"/>
      <c r="D62" s="36"/>
      <c r="E62" s="37"/>
      <c r="F62" s="36"/>
      <c r="G62" s="36"/>
      <c r="H62" s="36"/>
      <c r="I62" s="36"/>
      <c r="J62" s="7"/>
    </row>
    <row r="63" spans="2:10" ht="17.100000000000001" customHeight="1" x14ac:dyDescent="0.2">
      <c r="B63" s="6"/>
      <c r="C63" s="301" t="s">
        <v>61</v>
      </c>
      <c r="D63" s="301"/>
      <c r="E63" s="301"/>
      <c r="F63" s="140"/>
      <c r="G63" s="140"/>
      <c r="H63" s="140"/>
      <c r="I63" s="140"/>
      <c r="J63" s="7"/>
    </row>
    <row r="64" spans="2:10" ht="4.1500000000000004" customHeight="1" x14ac:dyDescent="0.2">
      <c r="B64" s="6"/>
      <c r="C64" s="38"/>
      <c r="D64" s="38"/>
      <c r="E64" s="37"/>
      <c r="F64" s="36"/>
      <c r="G64" s="36"/>
      <c r="H64" s="36"/>
      <c r="I64" s="36"/>
      <c r="J64" s="7"/>
    </row>
    <row r="65" spans="2:10" ht="17.100000000000001" customHeight="1" x14ac:dyDescent="0.2">
      <c r="B65" s="6"/>
      <c r="C65" s="312" t="s">
        <v>375</v>
      </c>
      <c r="D65" s="313"/>
      <c r="E65" s="313"/>
      <c r="F65" s="313"/>
      <c r="G65" s="313"/>
      <c r="H65" s="313"/>
      <c r="I65" s="314"/>
      <c r="J65" s="7"/>
    </row>
    <row r="66" spans="2:10" ht="17.100000000000001" customHeight="1" x14ac:dyDescent="0.2">
      <c r="B66" s="6"/>
      <c r="C66" s="315"/>
      <c r="D66" s="316"/>
      <c r="E66" s="316"/>
      <c r="F66" s="316"/>
      <c r="G66" s="316"/>
      <c r="H66" s="316"/>
      <c r="I66" s="317"/>
      <c r="J66" s="7"/>
    </row>
    <row r="67" spans="2:10" ht="17.100000000000001" customHeight="1" x14ac:dyDescent="0.2">
      <c r="B67" s="6"/>
      <c r="C67" s="315"/>
      <c r="D67" s="316"/>
      <c r="E67" s="316"/>
      <c r="F67" s="316"/>
      <c r="G67" s="316"/>
      <c r="H67" s="316"/>
      <c r="I67" s="317"/>
      <c r="J67" s="7"/>
    </row>
    <row r="68" spans="2:10" ht="17.100000000000001" customHeight="1" x14ac:dyDescent="0.2">
      <c r="B68" s="6"/>
      <c r="C68" s="315"/>
      <c r="D68" s="316"/>
      <c r="E68" s="316"/>
      <c r="F68" s="316"/>
      <c r="G68" s="316"/>
      <c r="H68" s="316"/>
      <c r="I68" s="317"/>
      <c r="J68" s="7"/>
    </row>
    <row r="69" spans="2:10" ht="17.100000000000001" customHeight="1" x14ac:dyDescent="0.2">
      <c r="B69" s="6"/>
      <c r="C69" s="315"/>
      <c r="D69" s="316"/>
      <c r="E69" s="316"/>
      <c r="F69" s="316"/>
      <c r="G69" s="316"/>
      <c r="H69" s="316"/>
      <c r="I69" s="317"/>
      <c r="J69" s="7"/>
    </row>
    <row r="70" spans="2:10" ht="17.100000000000001" customHeight="1" x14ac:dyDescent="0.2">
      <c r="B70" s="6"/>
      <c r="C70" s="315"/>
      <c r="D70" s="316"/>
      <c r="E70" s="316"/>
      <c r="F70" s="316"/>
      <c r="G70" s="316"/>
      <c r="H70" s="316"/>
      <c r="I70" s="317"/>
      <c r="J70" s="7"/>
    </row>
    <row r="71" spans="2:10" ht="17.100000000000001" customHeight="1" x14ac:dyDescent="0.2">
      <c r="B71" s="6"/>
      <c r="C71" s="318"/>
      <c r="D71" s="319"/>
      <c r="E71" s="319"/>
      <c r="F71" s="319"/>
      <c r="G71" s="319"/>
      <c r="H71" s="319"/>
      <c r="I71" s="320"/>
      <c r="J71" s="7"/>
    </row>
    <row r="72" spans="2:10" ht="15" thickBot="1" x14ac:dyDescent="0.25">
      <c r="B72" s="11"/>
      <c r="C72" s="12"/>
      <c r="D72" s="12"/>
      <c r="E72" s="12"/>
      <c r="F72" s="12"/>
      <c r="G72" s="12"/>
      <c r="H72" s="12"/>
      <c r="I72" s="12"/>
      <c r="J72" s="13"/>
    </row>
    <row r="73" spans="2:10" ht="14.25" x14ac:dyDescent="0.2"/>
    <row r="74" spans="2:10" ht="14.25" x14ac:dyDescent="0.2"/>
    <row r="75" spans="2:10" ht="14.25" hidden="1" x14ac:dyDescent="0.2"/>
    <row r="76" spans="2:10" ht="14.25" hidden="1" x14ac:dyDescent="0.2"/>
    <row r="77" spans="2:10" ht="14.25" hidden="1" x14ac:dyDescent="0.2"/>
    <row r="78" spans="2:10" ht="14.25" hidden="1" x14ac:dyDescent="0.2"/>
    <row r="79" spans="2:10" ht="14.25" hidden="1" x14ac:dyDescent="0.2"/>
    <row r="80" spans="2:10" ht="14.25" hidden="1" x14ac:dyDescent="0.2"/>
    <row r="81" ht="0" hidden="1" customHeight="1" x14ac:dyDescent="0.2"/>
    <row r="82" ht="0" hidden="1" customHeight="1" x14ac:dyDescent="0.2"/>
    <row r="83" ht="0" hidden="1" customHeight="1" x14ac:dyDescent="0.2"/>
    <row r="84" ht="0" hidden="1" customHeight="1" x14ac:dyDescent="0.2"/>
    <row r="85" ht="0" hidden="1" customHeight="1" x14ac:dyDescent="0.2"/>
    <row r="86" ht="0" hidden="1" customHeight="1" x14ac:dyDescent="0.2"/>
    <row r="87" ht="0" hidden="1" customHeight="1" x14ac:dyDescent="0.2"/>
    <row r="88" ht="0" hidden="1" customHeight="1" x14ac:dyDescent="0.2"/>
    <row r="89" ht="0" hidden="1" customHeight="1" x14ac:dyDescent="0.2"/>
    <row r="90" ht="0" hidden="1" customHeight="1" x14ac:dyDescent="0.2"/>
    <row r="91" ht="0" hidden="1" customHeight="1" x14ac:dyDescent="0.2"/>
    <row r="92" ht="0" hidden="1" customHeight="1" x14ac:dyDescent="0.2"/>
    <row r="93" ht="0" hidden="1" customHeight="1" x14ac:dyDescent="0.2"/>
    <row r="94" ht="0" hidden="1" customHeight="1" x14ac:dyDescent="0.2"/>
    <row r="95" ht="0" hidden="1" customHeight="1" x14ac:dyDescent="0.2"/>
    <row r="96" ht="0" hidden="1" customHeight="1" x14ac:dyDescent="0.2"/>
    <row r="97" ht="0" hidden="1" customHeight="1" x14ac:dyDescent="0.2"/>
  </sheetData>
  <sheetProtection algorithmName="SHA-512" hashValue="iEpVouO7yEaXhp/i4XoU879Iyt+wtomG+2Ky2RZk75FiTXLHHtrXkD/ZY0hOzUCrZJjRzZaZavYVo8xO8q8D+g==" saltValue="7SwEhcRXTPSNHl1ym0hRuQ==" spinCount="100000" sheet="1" formatColumns="0" formatRows="0" insertColumns="0" insertRows="0"/>
  <protectedRanges>
    <protectedRange sqref="G47:G53 G30:G38 G57:G61 G42:G43" name="School data"/>
    <protectedRange sqref="D15:D20" name="School information"/>
  </protectedRanges>
  <mergeCells count="43">
    <mergeCell ref="C31:D31"/>
    <mergeCell ref="C57:D57"/>
    <mergeCell ref="C58:D58"/>
    <mergeCell ref="C59:D59"/>
    <mergeCell ref="C60:D60"/>
    <mergeCell ref="C36:D36"/>
    <mergeCell ref="C65:I71"/>
    <mergeCell ref="F15:I15"/>
    <mergeCell ref="F17:I19"/>
    <mergeCell ref="C23:D23"/>
    <mergeCell ref="C24:D24"/>
    <mergeCell ref="C42:D42"/>
    <mergeCell ref="C43:D43"/>
    <mergeCell ref="C47:D47"/>
    <mergeCell ref="C48:D48"/>
    <mergeCell ref="C49:D49"/>
    <mergeCell ref="C50:D50"/>
    <mergeCell ref="C51:D51"/>
    <mergeCell ref="C52:D52"/>
    <mergeCell ref="C53:D53"/>
    <mergeCell ref="C30:D30"/>
    <mergeCell ref="C55:E55"/>
    <mergeCell ref="C63:E63"/>
    <mergeCell ref="G26:G27"/>
    <mergeCell ref="I26:I27"/>
    <mergeCell ref="C5:I5"/>
    <mergeCell ref="C13:E13"/>
    <mergeCell ref="C22:E22"/>
    <mergeCell ref="C37:D37"/>
    <mergeCell ref="C38:D38"/>
    <mergeCell ref="C28:E28"/>
    <mergeCell ref="C40:E40"/>
    <mergeCell ref="C45:E45"/>
    <mergeCell ref="C32:D32"/>
    <mergeCell ref="C33:D33"/>
    <mergeCell ref="C34:D34"/>
    <mergeCell ref="C35:D35"/>
    <mergeCell ref="C61:D61"/>
    <mergeCell ref="C3:I3"/>
    <mergeCell ref="C7:I7"/>
    <mergeCell ref="C8:I8"/>
    <mergeCell ref="C9:I9"/>
    <mergeCell ref="C11:I11"/>
  </mergeCells>
  <conditionalFormatting sqref="I30:I37 I47:I50 I53">
    <cfRule type="containsText" dxfId="61" priority="3011" operator="containsText" text="Middle 20%">
      <formula>NOT(ISERROR(SEARCH("Middle 20%",I30)))</formula>
    </cfRule>
    <cfRule type="containsText" dxfId="60" priority="3012" operator="containsText" text="Broadly">
      <formula>NOT(ISERROR(SEARCH("Broadly",I30)))</formula>
    </cfRule>
    <cfRule type="containsText" dxfId="59" priority="3013" operator="containsText" text="20%">
      <formula>NOT(ISERROR(SEARCH("20%",I30)))</formula>
    </cfRule>
    <cfRule type="containsText" dxfId="58" priority="3014" operator="containsText" text="10%">
      <formula>NOT(ISERROR(SEARCH("10%",I30)))</formula>
    </cfRule>
  </conditionalFormatting>
  <conditionalFormatting sqref="E58">
    <cfRule type="expression" dxfId="57" priority="2986">
      <formula>OR(#REF!="Primary",#REF!="Nursery")</formula>
    </cfRule>
  </conditionalFormatting>
  <conditionalFormatting sqref="E58">
    <cfRule type="expression" dxfId="56" priority="2982">
      <formula>#REF!="Nursery"</formula>
    </cfRule>
  </conditionalFormatting>
  <conditionalFormatting sqref="I42:I43">
    <cfRule type="containsText" dxfId="55" priority="2436" operator="containsText" text="Low">
      <formula>NOT(ISERROR(SEARCH("Low",I42)))</formula>
    </cfRule>
    <cfRule type="containsText" dxfId="54" priority="2437" operator="containsText" text="Medium">
      <formula>NOT(ISERROR(SEARCH("Medium",I42)))</formula>
    </cfRule>
    <cfRule type="containsText" dxfId="53" priority="2438" operator="containsText" text="High">
      <formula>NOT(ISERROR(SEARCH("High",I42)))</formula>
    </cfRule>
  </conditionalFormatting>
  <conditionalFormatting sqref="I57">
    <cfRule type="containsText" dxfId="52" priority="2423" operator="containsText" text="Outstanding">
      <formula>NOT(ISERROR(SEARCH("Outstanding",I57)))</formula>
    </cfRule>
    <cfRule type="containsText" dxfId="51" priority="2424" operator="containsText" text="Good">
      <formula>NOT(ISERROR(SEARCH("Good",I57)))</formula>
    </cfRule>
    <cfRule type="containsText" dxfId="50" priority="2425" operator="containsText" text="Requires Improvement">
      <formula>NOT(ISERROR(SEARCH("Requires Improvement",I57)))</formula>
    </cfRule>
    <cfRule type="containsText" dxfId="49" priority="2426" operator="containsText" text="Inadequate">
      <formula>NOT(ISERROR(SEARCH("Inadequate",I57)))</formula>
    </cfRule>
  </conditionalFormatting>
  <conditionalFormatting sqref="I52">
    <cfRule type="containsText" dxfId="48" priority="1538" operator="containsText" text="Low">
      <formula>NOT(ISERROR(SEARCH("Low",I52)))</formula>
    </cfRule>
    <cfRule type="containsText" dxfId="47" priority="1539" operator="containsText" text="Medium">
      <formula>NOT(ISERROR(SEARCH("Medium",I52)))</formula>
    </cfRule>
    <cfRule type="containsText" dxfId="46" priority="1540" operator="containsText" text="High">
      <formula>NOT(ISERROR(SEARCH("High",I52)))</formula>
    </cfRule>
  </conditionalFormatting>
  <conditionalFormatting sqref="I51">
    <cfRule type="expression" dxfId="45" priority="3015">
      <formula>OR(D17="Nursery",D17="Alternative provision",D17="Special")</formula>
    </cfRule>
    <cfRule type="containsText" dxfId="44" priority="3016" operator="containsText" text="Broadly">
      <formula>NOT(ISERROR(SEARCH("Broadly",I51)))</formula>
    </cfRule>
    <cfRule type="containsText" dxfId="43" priority="3017" operator="containsText" text="Much">
      <formula>NOT(ISERROR(SEARCH("Much",I51)))</formula>
    </cfRule>
    <cfRule type="containsText" dxfId="42" priority="3018" operator="containsText" text="Than">
      <formula>NOT(ISERROR(SEARCH("Than",I51)))</formula>
    </cfRule>
  </conditionalFormatting>
  <conditionalFormatting sqref="I58">
    <cfRule type="expression" dxfId="41" priority="3019">
      <formula>D17="Nursery"</formula>
    </cfRule>
    <cfRule type="expression" dxfId="40" priority="3020">
      <formula>D17="Primary"</formula>
    </cfRule>
    <cfRule type="containsText" dxfId="39" priority="3021" operator="containsText" text="Well above">
      <formula>NOT(ISERROR(SEARCH("Well above",I58)))</formula>
    </cfRule>
    <cfRule type="containsText" dxfId="38" priority="3022" operator="containsText" text="Above">
      <formula>NOT(ISERROR(SEARCH("Above",I58)))</formula>
    </cfRule>
    <cfRule type="containsText" dxfId="37" priority="3023" operator="containsText" text="Well below">
      <formula>NOT(ISERROR(SEARCH("Well below",I58)))</formula>
    </cfRule>
    <cfRule type="containsText" dxfId="36" priority="3024" operator="containsText" text="Below">
      <formula>NOT(ISERROR(SEARCH("Below",I58)))</formula>
    </cfRule>
  </conditionalFormatting>
  <conditionalFormatting sqref="I59">
    <cfRule type="expression" dxfId="35" priority="3025">
      <formula>D17="Nursery"</formula>
    </cfRule>
    <cfRule type="expression" dxfId="34" priority="3026">
      <formula>OR(D17="Secondary with sixth form",D17="Secondary without sixth form")</formula>
    </cfRule>
    <cfRule type="containsText" dxfId="33" priority="3027" operator="containsText" text="Well above">
      <formula>NOT(ISERROR(SEARCH("Well above",I59)))</formula>
    </cfRule>
    <cfRule type="containsText" dxfId="32" priority="3028" operator="containsText" text="Above">
      <formula>NOT(ISERROR(SEARCH("Above",I59)))</formula>
    </cfRule>
    <cfRule type="containsText" dxfId="31" priority="3029" operator="containsText" text="Well below">
      <formula>NOT(ISERROR(SEARCH("Well below",I59)))</formula>
    </cfRule>
    <cfRule type="containsText" dxfId="30" priority="3030" operator="containsText" text="Below">
      <formula>NOT(ISERROR(SEARCH("Below",I59)))</formula>
    </cfRule>
  </conditionalFormatting>
  <conditionalFormatting sqref="I60">
    <cfRule type="expression" dxfId="29" priority="3031">
      <formula>OR(D17="Secondary with sixth form",D17="Secondary without sixth form",D17="Nursery")</formula>
    </cfRule>
    <cfRule type="containsText" dxfId="28" priority="3032" operator="containsText" text="Well above">
      <formula>NOT(ISERROR(SEARCH("Well above",I60)))</formula>
    </cfRule>
    <cfRule type="containsText" dxfId="27" priority="3033" operator="containsText" text="Above">
      <formula>NOT(ISERROR(SEARCH("Above",I60)))</formula>
    </cfRule>
    <cfRule type="containsText" dxfId="26" priority="3034" operator="containsText" text="Well below">
      <formula>NOT(ISERROR(SEARCH("Well below",I60)))</formula>
    </cfRule>
    <cfRule type="containsText" dxfId="25" priority="3035" operator="containsText" text="Below">
      <formula>NOT(ISERROR(SEARCH("Below",I60)))</formula>
    </cfRule>
  </conditionalFormatting>
  <conditionalFormatting sqref="G51">
    <cfRule type="expression" dxfId="24" priority="3036">
      <formula>OR(D17="Nursery",D17="Alternative provision",D17="Special")</formula>
    </cfRule>
  </conditionalFormatting>
  <conditionalFormatting sqref="G53">
    <cfRule type="expression" dxfId="23" priority="3037">
      <formula>OR(D17="Nursery",D17="Alternative provision",D17="Special")</formula>
    </cfRule>
  </conditionalFormatting>
  <conditionalFormatting sqref="G60">
    <cfRule type="expression" dxfId="22" priority="3038">
      <formula>OR(D17="Secondary with sixth form",D17="Secondary without sixth form",D17="Nursery")</formula>
    </cfRule>
  </conditionalFormatting>
  <conditionalFormatting sqref="I61">
    <cfRule type="expression" dxfId="21" priority="3039">
      <formula>OR(D17="Secondary with sixth form",D17="Secondary without sixth form",D17="Nursery")</formula>
    </cfRule>
    <cfRule type="containsText" dxfId="20" priority="3040" operator="containsText" text="Well above">
      <formula>NOT(ISERROR(SEARCH("Well above",I61)))</formula>
    </cfRule>
    <cfRule type="containsText" dxfId="19" priority="3041" operator="containsText" text="Above">
      <formula>NOT(ISERROR(SEARCH("Above",I61)))</formula>
    </cfRule>
    <cfRule type="containsText" dxfId="18" priority="3042" operator="containsText" text="Well below">
      <formula>NOT(ISERROR(SEARCH("Well below",I61)))</formula>
    </cfRule>
    <cfRule type="containsText" dxfId="17" priority="3043" operator="containsText" text="Below">
      <formula>NOT(ISERROR(SEARCH("Below",I61)))</formula>
    </cfRule>
  </conditionalFormatting>
  <conditionalFormatting sqref="I53">
    <cfRule type="expression" dxfId="16" priority="3044">
      <formula>OR(D17="Nursery",D17="Alternative provision",D17="Special")</formula>
    </cfRule>
  </conditionalFormatting>
  <conditionalFormatting sqref="G58">
    <cfRule type="expression" dxfId="15" priority="3045">
      <formula>D17="Nursery"</formula>
    </cfRule>
    <cfRule type="expression" dxfId="14" priority="3046">
      <formula>D17="Primary"</formula>
    </cfRule>
  </conditionalFormatting>
  <conditionalFormatting sqref="G59">
    <cfRule type="expression" dxfId="13" priority="3047">
      <formula>OR(D17="Secondary with sixth form",D17="Secondary without sixth form")</formula>
    </cfRule>
    <cfRule type="expression" dxfId="12" priority="3048">
      <formula>D17="Nursery"</formula>
    </cfRule>
  </conditionalFormatting>
  <conditionalFormatting sqref="G61">
    <cfRule type="expression" dxfId="11" priority="3049">
      <formula>OR(D17="Secondary with sixth form",D17="Secondary without sixth form",D17="Nursery")</formula>
    </cfRule>
  </conditionalFormatting>
  <conditionalFormatting sqref="C53:E53">
    <cfRule type="expression" dxfId="10" priority="7">
      <formula>OR($D$17="Nursery",$D$17="Alternative provision",$D$17="Special")</formula>
    </cfRule>
  </conditionalFormatting>
  <conditionalFormatting sqref="C51:E51">
    <cfRule type="expression" dxfId="9" priority="6">
      <formula>OR($D$17="Nursery",$D$17="Alternative provision",$D$17="Special")</formula>
    </cfRule>
  </conditionalFormatting>
  <conditionalFormatting sqref="C58:E58">
    <cfRule type="expression" dxfId="8" priority="1">
      <formula>$D$17="Primary"</formula>
    </cfRule>
    <cfRule type="expression" dxfId="7" priority="5">
      <formula>$D$17="Nursery"</formula>
    </cfRule>
  </conditionalFormatting>
  <conditionalFormatting sqref="C59:E61">
    <cfRule type="expression" dxfId="6" priority="4">
      <formula>$D$17="Nursery"</formula>
    </cfRule>
  </conditionalFormatting>
  <conditionalFormatting sqref="C59:E59">
    <cfRule type="expression" dxfId="5" priority="3">
      <formula>OR($D$17="Secondary with sixth form",$D$17="Secondary without sixth form")</formula>
    </cfRule>
  </conditionalFormatting>
  <conditionalFormatting sqref="C60:E61">
    <cfRule type="expression" dxfId="4" priority="2">
      <formula>OR($D$17="Secondary with sixth form",$D$17="Secondary without sixth form")</formula>
    </cfRule>
  </conditionalFormatting>
  <dataValidations count="15">
    <dataValidation allowBlank="1" showInputMessage="1" showErrorMessage="1" prompt="Input ratio here or use raw data form to input underlying data" sqref="G51"/>
    <dataValidation allowBlank="1" showInputMessage="1" showErrorMessage="1" prompt="Input ratio here or use raw data form to input workforce data" sqref="G49:G50"/>
    <dataValidation allowBlank="1" showInputMessage="1" showErrorMessage="1" prompt="Input percentage here or use raw data form to input workforce data" sqref="G48"/>
    <dataValidation allowBlank="1" showInputMessage="1" showErrorMessage="1" prompt="Input cost here or use raw data form to input spending and workforce data" sqref="G47"/>
    <dataValidation allowBlank="1" showInputMessage="1" showErrorMessage="1" prompt="Input percentage here or use raw data form to input balance and income data" sqref="G42"/>
    <dataValidation allowBlank="1" showInputMessage="1" showErrorMessage="1" prompt="Input percentage here or use raw data form to input reserves and income data" sqref="G43"/>
    <dataValidation allowBlank="1" showInputMessage="1" showErrorMessage="1" prompt="Input percentage here or use raw data form to input spending data" sqref="G30:G38"/>
    <dataValidation type="list" allowBlank="1" showInputMessage="1" showErrorMessage="1" prompt="Select phase from list" sqref="D17">
      <formula1>"Primary,Secondary with sixth form,Secondary without sixth form,All-through,Special,Alternative provision,Nursery"</formula1>
    </dataValidation>
    <dataValidation allowBlank="1" showInputMessage="1" showErrorMessage="1" prompt="Input percentage of pupils eligible for FSM" sqref="D20"/>
    <dataValidation allowBlank="1" showInputMessage="1" showErrorMessage="1" prompt="Input number of pupils" sqref="D19"/>
    <dataValidation type="list" allowBlank="1" showInputMessage="1" showErrorMessage="1" prompt="Select region from list" sqref="D18">
      <formula1>"East Midlands,East of England,Inner London,North East,North West,Outer London,South East,South West, West Midlands, Yorkshire and the Humber"</formula1>
    </dataValidation>
    <dataValidation type="list" allowBlank="1" showInputMessage="1" showErrorMessage="1" prompt="Select rating from list" sqref="G57">
      <formula1>"Outstanding, Good, RI, Inadequate"</formula1>
    </dataValidation>
    <dataValidation allowBlank="1" showInputMessage="1" showErrorMessage="1" prompt="Input percentage" sqref="G52"/>
    <dataValidation allowBlank="1" showInputMessage="1" showErrorMessage="1" prompt="Input average class size" sqref="G53"/>
    <dataValidation allowBlank="1" showInputMessage="1" showErrorMessage="1" prompt="Input progress score" sqref="G58 G59:G61"/>
  </dataValidations>
  <hyperlinks>
    <hyperlink ref="E58" r:id="rId1" location="section-e-progress-8-score"/>
    <hyperlink ref="E59" r:id="rId2" location="section-e-progress-scores-in-reading-writing-and-maths"/>
    <hyperlink ref="E60" r:id="rId3" location="section-e-progress-scores-in-reading-writing-and-maths"/>
    <hyperlink ref="E61" r:id="rId4" location="section-e-progress-scores-in-reading-writing-and-maths"/>
    <hyperlink ref="F17:H18" location="'Optional - input raw data'!F19" display="Input the school's data directly below, or click here to input raw data for this school"/>
    <hyperlink ref="C11:E11" r:id="rId5" location="using-the-results-from-the-dashboard" display="https://www.gov.uk/government/publications/school-resource-management-self-assessment-tool/dashboard-support-notes - using-the-results-from-the-dashboard"/>
    <hyperlink ref="C8:E8" r:id="rId6" display="Guidance on calculating or collecting the data for the school so that metrics are compared to thresholds consistently can be found here. Clicking on the link next to individual indicators below will also take you to the relevant section of the guidance."/>
    <hyperlink ref="F15:I15" location="'RAG rating data for your school'!A1" display="Click here to see the RAG rating data for this school"/>
    <hyperlink ref="E30" r:id="rId7" location="section-b-spend-on-teaching-staff-as-a-percentage-of-total-expenditure"/>
    <hyperlink ref="E31" r:id="rId8" location="section-b-spend-on-supply-staff-as-a-percentage-of-total-expenditure"/>
    <hyperlink ref="E32" r:id="rId9" location="section-b-spend-on-education-support-staff-as-a-percentage-of-total-expenditure"/>
    <hyperlink ref="E33" r:id="rId10" location="section-b-spend-on-administrative-and-clerical-staff-as-a-percentage-of-total-expenditure"/>
    <hyperlink ref="E34" r:id="rId11" location="section-b-spend-on-other-staff-costs-as-a-percentage-of-total-expenditure"/>
    <hyperlink ref="E35" r:id="rId12" location="section-b-spend-on-premises-including-staff-costs-as-a-percentage-of-total-expenditure"/>
    <hyperlink ref="E37" r:id="rId13" location="section-b-spend-on-energy-as-a-percentage-of-total-expenditure"/>
    <hyperlink ref="E38" r:id="rId14" location="section-b-other-spending-as-a-percentage-of-total-expenditure"/>
    <hyperlink ref="E36" r:id="rId15" location="section-b-spend-on-teaching-resources-as-a-percentage-of-total-expenditure"/>
    <hyperlink ref="E42" r:id="rId16" location="section-c-in-year-balance-as-a-percentage-of-total-income"/>
    <hyperlink ref="E43" r:id="rId17" location="section-c-revenue-reserve-as-a-percentage-of-total-income"/>
    <hyperlink ref="E53" r:id="rId18" location="section-d-average-class-size"/>
    <hyperlink ref="E51" r:id="rId19" location="section-d-teacher-contact-ratio"/>
    <hyperlink ref="E47" r:id="rId20" location="section-d-average-teacher-cost"/>
    <hyperlink ref="E48" r:id="rId21" location="section-d-senior-leaders-as-a-percentage-of-workforce"/>
    <hyperlink ref="E49" r:id="rId22" location="section-d-pupil-to-teacher-ratio"/>
    <hyperlink ref="E50" r:id="rId23" location="section-d-pupil-to-adult-ratio"/>
    <hyperlink ref="E52" r:id="rId24" location="section-d-predicted-percentage-pupil-number-change-in-3-to-5-years"/>
    <hyperlink ref="E57" r:id="rId25" location="section-e-ofsted-rating"/>
    <hyperlink ref="C8:I8" r:id="rId26" display="Guidance on calculating or collecting the data for the school so that metrics are compared to thresholds consistently can be found here. Clicking on the link next to individual indicators below will also take you to the relevant section of the guidance."/>
    <hyperlink ref="C11:I11" r:id="rId27" location="using-the-results-from-the-dashboard" display="using-the-results-from-the-dashboard"/>
    <hyperlink ref="F17:I19" location="'Optional - input raw data'!F9" display="'Optional - input raw data'!F9"/>
    <hyperlink ref="C9:I9" location="'Optional - input raw data'!A1" display="Either input the school's percentages and ratios directly, or complete the Optional - input raw data form with spending information and school characteristics. The percentages and ratios in the dashboard will then auto-calculate."/>
  </hyperlinks>
  <pageMargins left="0.70866141732283472" right="0.70866141732283472" top="0.74803149606299213" bottom="0.74803149606299213" header="0.31496062992125984" footer="0.31496062992125984"/>
  <pageSetup paperSize="9" scale="52" orientation="portrait" cellComments="asDisplayed" r:id="rId28"/>
  <drawing r:id="rId2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14999847407452621"/>
    <pageSetUpPr fitToPage="1"/>
  </sheetPr>
  <dimension ref="A1:AT89"/>
  <sheetViews>
    <sheetView showGridLines="0" showRowColHeaders="0" zoomScale="80" zoomScaleNormal="80" workbookViewId="0">
      <selection activeCell="F15" sqref="F15"/>
    </sheetView>
  </sheetViews>
  <sheetFormatPr defaultColWidth="0" defaultRowHeight="15" zeroHeight="1" x14ac:dyDescent="0.2"/>
  <cols>
    <col min="1" max="1" width="8" style="39" customWidth="1"/>
    <col min="2" max="2" width="4.140625" style="39" customWidth="1"/>
    <col min="3" max="3" width="5.5703125" style="39" customWidth="1"/>
    <col min="4" max="4" width="69.140625" style="39" customWidth="1"/>
    <col min="5" max="5" width="7.85546875" style="39" customWidth="1"/>
    <col min="6" max="6" width="21.5703125" style="39" customWidth="1"/>
    <col min="7" max="7" width="4.140625" style="39" customWidth="1"/>
    <col min="8" max="8" width="8" style="39" customWidth="1"/>
    <col min="9" max="9" width="4.140625" style="39" hidden="1" customWidth="1"/>
    <col min="10" max="10" width="21.5703125" style="39" hidden="1" customWidth="1"/>
    <col min="11" max="11" width="4.140625" style="39" hidden="1" customWidth="1"/>
    <col min="12" max="12" width="21.5703125" style="39" hidden="1" customWidth="1"/>
    <col min="13" max="13" width="4.140625" style="39" hidden="1" customWidth="1"/>
    <col min="14" max="14" width="21.5703125" style="39" hidden="1" customWidth="1"/>
    <col min="15" max="15" width="4.140625" style="39" hidden="1" customWidth="1"/>
    <col min="16" max="16" width="21.5703125" style="39" hidden="1" customWidth="1"/>
    <col min="17" max="17" width="4.140625" style="39" hidden="1" customWidth="1"/>
    <col min="18" max="18" width="21.5703125" style="39" hidden="1" customWidth="1"/>
    <col min="19" max="19" width="4.140625" style="39" hidden="1" customWidth="1"/>
    <col min="20" max="20" width="21.5703125" style="39" hidden="1" customWidth="1"/>
    <col min="21" max="21" width="4.140625" style="39" hidden="1" customWidth="1"/>
    <col min="22" max="22" width="21.5703125" style="39" hidden="1" customWidth="1"/>
    <col min="23" max="23" width="4.140625" style="39" hidden="1" customWidth="1"/>
    <col min="24" max="24" width="21.5703125" style="39" hidden="1" customWidth="1"/>
    <col min="25" max="25" width="4.140625" style="39" hidden="1" customWidth="1"/>
    <col min="26" max="26" width="21.5703125" style="39" hidden="1" customWidth="1"/>
    <col min="27" max="27" width="4.140625" style="39" hidden="1" customWidth="1"/>
    <col min="28" max="28" width="21.5703125" style="39" hidden="1" customWidth="1"/>
    <col min="29" max="29" width="4.140625" style="39" hidden="1" customWidth="1"/>
    <col min="30" max="30" width="21.5703125" style="39" hidden="1" customWidth="1"/>
    <col min="31" max="31" width="4.140625" style="39" hidden="1" customWidth="1"/>
    <col min="32" max="32" width="21.5703125" style="39" hidden="1" customWidth="1"/>
    <col min="33" max="33" width="4.140625" style="39" hidden="1" customWidth="1"/>
    <col min="34" max="34" width="21.5703125" style="39" hidden="1" customWidth="1"/>
    <col min="35" max="35" width="4.140625" style="39" hidden="1" customWidth="1"/>
    <col min="36" max="36" width="21.5703125" style="39" hidden="1" customWidth="1"/>
    <col min="37" max="37" width="4.140625" style="39" hidden="1" customWidth="1"/>
    <col min="38" max="38" width="21.5703125" style="39" hidden="1" customWidth="1"/>
    <col min="39" max="39" width="4.140625" style="39" hidden="1" customWidth="1"/>
    <col min="40" max="40" width="21.5703125" style="39" hidden="1" customWidth="1"/>
    <col min="41" max="41" width="4.140625" style="39" hidden="1" customWidth="1"/>
    <col min="42" max="42" width="21.5703125" style="39" hidden="1" customWidth="1"/>
    <col min="43" max="43" width="4.140625" style="39" hidden="1" customWidth="1"/>
    <col min="44" max="44" width="21.5703125" style="39" hidden="1" customWidth="1"/>
    <col min="45" max="46" width="0" style="39" hidden="1" customWidth="1"/>
    <col min="47" max="16384" width="9" style="39" hidden="1"/>
  </cols>
  <sheetData>
    <row r="1" spans="2:7" ht="15.75" thickBot="1" x14ac:dyDescent="0.25"/>
    <row r="2" spans="2:7" x14ac:dyDescent="0.2">
      <c r="B2" s="43"/>
      <c r="C2" s="44"/>
      <c r="D2" s="44"/>
      <c r="E2" s="44"/>
      <c r="F2" s="44"/>
      <c r="G2" s="45"/>
    </row>
    <row r="3" spans="2:7" ht="24.95" customHeight="1" x14ac:dyDescent="0.2">
      <c r="B3" s="46"/>
      <c r="C3" s="325" t="s">
        <v>103</v>
      </c>
      <c r="D3" s="325"/>
      <c r="E3" s="129"/>
      <c r="F3" s="129"/>
      <c r="G3" s="47"/>
    </row>
    <row r="4" spans="2:7" s="154" customFormat="1" x14ac:dyDescent="0.2">
      <c r="B4" s="150"/>
      <c r="C4" s="151"/>
      <c r="D4" s="151"/>
      <c r="E4" s="151"/>
      <c r="F4" s="152">
        <v>1</v>
      </c>
      <c r="G4" s="153"/>
    </row>
    <row r="5" spans="2:7" ht="57.95" customHeight="1" x14ac:dyDescent="0.2">
      <c r="B5" s="46"/>
      <c r="C5" s="326" t="s">
        <v>342</v>
      </c>
      <c r="D5" s="326"/>
      <c r="E5" s="326"/>
      <c r="F5" s="326"/>
      <c r="G5" s="47"/>
    </row>
    <row r="6" spans="2:7" ht="71.849999999999994" customHeight="1" x14ac:dyDescent="0.2">
      <c r="B6" s="46"/>
      <c r="C6" s="327" t="s">
        <v>307</v>
      </c>
      <c r="D6" s="327"/>
      <c r="E6" s="327"/>
      <c r="F6" s="327"/>
      <c r="G6" s="47"/>
    </row>
    <row r="7" spans="2:7" ht="15" customHeight="1" x14ac:dyDescent="0.2">
      <c r="B7" s="46"/>
      <c r="C7" s="48"/>
      <c r="D7" s="48"/>
      <c r="E7" s="48"/>
      <c r="F7" s="194"/>
      <c r="G7" s="47"/>
    </row>
    <row r="8" spans="2:7" x14ac:dyDescent="0.2">
      <c r="B8" s="46"/>
      <c r="C8" s="48"/>
      <c r="D8" s="48"/>
      <c r="E8" s="48"/>
      <c r="F8" s="48"/>
      <c r="G8" s="47"/>
    </row>
    <row r="9" spans="2:7" s="40" customFormat="1" ht="17.100000000000001" customHeight="1" x14ac:dyDescent="0.25">
      <c r="B9" s="49"/>
      <c r="C9" s="331" t="s">
        <v>165</v>
      </c>
      <c r="D9" s="332"/>
      <c r="E9" s="50"/>
      <c r="F9" s="82">
        <v>24.25</v>
      </c>
      <c r="G9" s="51"/>
    </row>
    <row r="10" spans="2:7" s="40" customFormat="1" ht="17.100000000000001" customHeight="1" x14ac:dyDescent="0.25">
      <c r="B10" s="49"/>
      <c r="C10" s="328" t="s">
        <v>100</v>
      </c>
      <c r="D10" s="329"/>
      <c r="E10" s="50"/>
      <c r="F10" s="82">
        <v>4.5999999999999996</v>
      </c>
      <c r="G10" s="51"/>
    </row>
    <row r="11" spans="2:7" s="40" customFormat="1" ht="17.100000000000001" customHeight="1" x14ac:dyDescent="0.25">
      <c r="B11" s="49"/>
      <c r="C11" s="328" t="s">
        <v>101</v>
      </c>
      <c r="D11" s="329"/>
      <c r="E11" s="50"/>
      <c r="F11" s="82">
        <v>48.1</v>
      </c>
      <c r="G11" s="51"/>
    </row>
    <row r="12" spans="2:7" x14ac:dyDescent="0.2">
      <c r="B12" s="46"/>
      <c r="C12" s="48"/>
      <c r="D12" s="52"/>
      <c r="E12" s="48"/>
      <c r="F12" s="185"/>
      <c r="G12" s="47"/>
    </row>
    <row r="13" spans="2:7" s="40" customFormat="1" ht="17.100000000000001" customHeight="1" x14ac:dyDescent="0.25">
      <c r="B13" s="49"/>
      <c r="C13" s="328" t="s">
        <v>62</v>
      </c>
      <c r="D13" s="329"/>
      <c r="E13" s="50"/>
      <c r="F13" s="83">
        <v>2263489</v>
      </c>
      <c r="G13" s="51"/>
    </row>
    <row r="14" spans="2:7" s="40" customFormat="1" ht="17.100000000000001" customHeight="1" x14ac:dyDescent="0.25">
      <c r="B14" s="49"/>
      <c r="C14" s="328" t="s">
        <v>99</v>
      </c>
      <c r="D14" s="329"/>
      <c r="E14" s="50"/>
      <c r="F14" s="83">
        <v>2277798</v>
      </c>
      <c r="G14" s="51"/>
    </row>
    <row r="15" spans="2:7" s="40" customFormat="1" ht="17.100000000000001" customHeight="1" x14ac:dyDescent="0.25">
      <c r="B15" s="49"/>
      <c r="C15" s="328" t="s">
        <v>102</v>
      </c>
      <c r="D15" s="329"/>
      <c r="E15" s="50"/>
      <c r="F15" s="83">
        <v>211434</v>
      </c>
      <c r="G15" s="51"/>
    </row>
    <row r="16" spans="2:7" s="40" customFormat="1" ht="17.100000000000001" customHeight="1" x14ac:dyDescent="0.25">
      <c r="B16" s="49"/>
      <c r="C16" s="50"/>
      <c r="D16" s="52"/>
      <c r="E16" s="50"/>
      <c r="F16" s="186"/>
      <c r="G16" s="51"/>
    </row>
    <row r="17" spans="2:7" s="40" customFormat="1" ht="17.100000000000001" customHeight="1" x14ac:dyDescent="0.25">
      <c r="B17" s="49"/>
      <c r="C17" s="330" t="s">
        <v>169</v>
      </c>
      <c r="D17" s="330"/>
      <c r="E17" s="50"/>
      <c r="F17" s="186"/>
      <c r="G17" s="51"/>
    </row>
    <row r="18" spans="2:7" s="40" customFormat="1" ht="17.100000000000001" customHeight="1" x14ac:dyDescent="0.25">
      <c r="B18" s="49"/>
      <c r="C18" s="328" t="s">
        <v>167</v>
      </c>
      <c r="D18" s="329"/>
      <c r="E18" s="50"/>
      <c r="F18" s="84"/>
      <c r="G18" s="51"/>
    </row>
    <row r="19" spans="2:7" s="40" customFormat="1" ht="17.100000000000001" customHeight="1" x14ac:dyDescent="0.25">
      <c r="B19" s="49"/>
      <c r="C19" s="328" t="s">
        <v>172</v>
      </c>
      <c r="D19" s="329"/>
      <c r="E19" s="50"/>
      <c r="F19" s="84"/>
      <c r="G19" s="51"/>
    </row>
    <row r="20" spans="2:7" s="40" customFormat="1" ht="17.100000000000001" customHeight="1" x14ac:dyDescent="0.25">
      <c r="B20" s="49"/>
      <c r="C20" s="50"/>
      <c r="D20" s="131" t="str">
        <f>IFERROR(IF((F19/(F18*F9))&lt;0.5,"Resulting teacher contact ratio is low. Total lessons taught may be incorrectly calculated as too low",IF((F19/(F18*F9))&gt;1,"Resulting teacher contact ratio is greater than 1. Total lessons taught is too high","")),"")</f>
        <v/>
      </c>
      <c r="E20" s="131"/>
      <c r="F20" s="187"/>
      <c r="G20" s="51"/>
    </row>
    <row r="21" spans="2:7" s="40" customFormat="1" ht="17.100000000000001" customHeight="1" x14ac:dyDescent="0.25">
      <c r="B21" s="49"/>
      <c r="C21" s="330" t="s">
        <v>170</v>
      </c>
      <c r="D21" s="330"/>
      <c r="E21" s="50"/>
      <c r="F21" s="186"/>
      <c r="G21" s="51"/>
    </row>
    <row r="22" spans="2:7" s="40" customFormat="1" ht="17.100000000000001" customHeight="1" x14ac:dyDescent="0.25">
      <c r="B22" s="49"/>
      <c r="C22" s="328" t="s">
        <v>168</v>
      </c>
      <c r="D22" s="329"/>
      <c r="E22" s="50"/>
      <c r="F22" s="84">
        <v>20</v>
      </c>
      <c r="G22" s="51"/>
    </row>
    <row r="23" spans="2:7" s="40" customFormat="1" ht="17.100000000000001" customHeight="1" x14ac:dyDescent="0.25">
      <c r="B23" s="49"/>
      <c r="C23" s="58"/>
      <c r="D23" s="52"/>
      <c r="E23" s="50"/>
      <c r="F23" s="186"/>
      <c r="G23" s="51"/>
    </row>
    <row r="24" spans="2:7" s="40" customFormat="1" ht="17.100000000000001" customHeight="1" x14ac:dyDescent="0.25">
      <c r="B24" s="49"/>
      <c r="C24" s="42" t="s">
        <v>308</v>
      </c>
      <c r="D24" s="193" t="s">
        <v>2</v>
      </c>
      <c r="E24" s="50"/>
      <c r="F24" s="83">
        <v>1088326</v>
      </c>
      <c r="G24" s="51"/>
    </row>
    <row r="25" spans="2:7" s="40" customFormat="1" ht="17.100000000000001" customHeight="1" x14ac:dyDescent="0.25">
      <c r="B25" s="49"/>
      <c r="C25" s="42" t="s">
        <v>309</v>
      </c>
      <c r="D25" s="193" t="s">
        <v>64</v>
      </c>
      <c r="E25" s="50"/>
      <c r="F25" s="83">
        <v>32545</v>
      </c>
      <c r="G25" s="51"/>
    </row>
    <row r="26" spans="2:7" s="40" customFormat="1" ht="17.100000000000001" customHeight="1" x14ac:dyDescent="0.25">
      <c r="B26" s="49"/>
      <c r="C26" s="42" t="s">
        <v>310</v>
      </c>
      <c r="D26" s="193" t="s">
        <v>3</v>
      </c>
      <c r="E26" s="50"/>
      <c r="F26" s="83">
        <v>365003</v>
      </c>
      <c r="G26" s="51"/>
    </row>
    <row r="27" spans="2:7" s="40" customFormat="1" ht="17.100000000000001" customHeight="1" x14ac:dyDescent="0.25">
      <c r="B27" s="49"/>
      <c r="C27" s="42" t="s">
        <v>311</v>
      </c>
      <c r="D27" s="193" t="s">
        <v>65</v>
      </c>
      <c r="E27" s="50"/>
      <c r="F27" s="83">
        <v>33841</v>
      </c>
      <c r="G27" s="51"/>
    </row>
    <row r="28" spans="2:7" s="40" customFormat="1" ht="17.100000000000001" customHeight="1" x14ac:dyDescent="0.25">
      <c r="B28" s="49"/>
      <c r="C28" s="42" t="s">
        <v>312</v>
      </c>
      <c r="D28" s="193" t="s">
        <v>5</v>
      </c>
      <c r="E28" s="50"/>
      <c r="F28" s="83">
        <v>101005</v>
      </c>
      <c r="G28" s="51"/>
    </row>
    <row r="29" spans="2:7" s="40" customFormat="1" ht="17.100000000000001" customHeight="1" x14ac:dyDescent="0.25">
      <c r="B29" s="49"/>
      <c r="C29" s="42" t="s">
        <v>313</v>
      </c>
      <c r="D29" s="193" t="s">
        <v>66</v>
      </c>
      <c r="E29" s="50"/>
      <c r="F29" s="83">
        <v>0</v>
      </c>
      <c r="G29" s="51"/>
    </row>
    <row r="30" spans="2:7" s="40" customFormat="1" ht="17.100000000000001" customHeight="1" x14ac:dyDescent="0.25">
      <c r="B30" s="49"/>
      <c r="C30" s="42" t="s">
        <v>314</v>
      </c>
      <c r="D30" s="193" t="s">
        <v>67</v>
      </c>
      <c r="E30" s="50"/>
      <c r="F30" s="83">
        <v>55103</v>
      </c>
      <c r="G30" s="51"/>
    </row>
    <row r="31" spans="2:7" s="40" customFormat="1" ht="17.100000000000001" customHeight="1" x14ac:dyDescent="0.25">
      <c r="B31" s="49"/>
      <c r="C31" s="42" t="s">
        <v>315</v>
      </c>
      <c r="D31" s="193" t="s">
        <v>68</v>
      </c>
      <c r="E31" s="50"/>
      <c r="F31" s="83">
        <v>1266</v>
      </c>
      <c r="G31" s="51"/>
    </row>
    <row r="32" spans="2:7" s="40" customFormat="1" ht="17.100000000000001" customHeight="1" x14ac:dyDescent="0.25">
      <c r="B32" s="49"/>
      <c r="C32" s="42" t="s">
        <v>316</v>
      </c>
      <c r="D32" s="193" t="s">
        <v>69</v>
      </c>
      <c r="E32" s="50"/>
      <c r="F32" s="83">
        <v>12547</v>
      </c>
      <c r="G32" s="51"/>
    </row>
    <row r="33" spans="2:7" s="40" customFormat="1" ht="17.100000000000001" customHeight="1" x14ac:dyDescent="0.25">
      <c r="B33" s="49"/>
      <c r="C33" s="42" t="s">
        <v>70</v>
      </c>
      <c r="D33" s="193" t="s">
        <v>71</v>
      </c>
      <c r="E33" s="50"/>
      <c r="F33" s="83">
        <v>8841</v>
      </c>
      <c r="G33" s="51"/>
    </row>
    <row r="34" spans="2:7" s="40" customFormat="1" ht="17.100000000000001" customHeight="1" x14ac:dyDescent="0.25">
      <c r="B34" s="49"/>
      <c r="C34" s="42" t="s">
        <v>72</v>
      </c>
      <c r="D34" s="193" t="s">
        <v>73</v>
      </c>
      <c r="E34" s="50"/>
      <c r="F34" s="83">
        <v>6218</v>
      </c>
      <c r="G34" s="51"/>
    </row>
    <row r="35" spans="2:7" s="40" customFormat="1" ht="17.100000000000001" customHeight="1" x14ac:dyDescent="0.25">
      <c r="B35" s="49"/>
      <c r="C35" s="42" t="s">
        <v>317</v>
      </c>
      <c r="D35" s="193" t="s">
        <v>318</v>
      </c>
      <c r="E35" s="50"/>
      <c r="F35" s="83">
        <v>56009</v>
      </c>
      <c r="G35" s="51"/>
    </row>
    <row r="36" spans="2:7" s="40" customFormat="1" ht="17.100000000000001" customHeight="1" x14ac:dyDescent="0.25">
      <c r="B36" s="49"/>
      <c r="C36" s="42" t="s">
        <v>74</v>
      </c>
      <c r="D36" s="193" t="s">
        <v>319</v>
      </c>
      <c r="E36" s="50"/>
      <c r="F36" s="83">
        <v>7412</v>
      </c>
      <c r="G36" s="51"/>
    </row>
    <row r="37" spans="2:7" s="40" customFormat="1" ht="17.100000000000001" customHeight="1" x14ac:dyDescent="0.25">
      <c r="B37" s="49"/>
      <c r="C37" s="42" t="s">
        <v>75</v>
      </c>
      <c r="D37" s="193" t="s">
        <v>76</v>
      </c>
      <c r="E37" s="50"/>
      <c r="F37" s="83">
        <v>46642</v>
      </c>
      <c r="G37" s="51"/>
    </row>
    <row r="38" spans="2:7" s="40" customFormat="1" ht="17.100000000000001" customHeight="1" x14ac:dyDescent="0.25">
      <c r="B38" s="49"/>
      <c r="C38" s="42" t="s">
        <v>77</v>
      </c>
      <c r="D38" s="193" t="s">
        <v>78</v>
      </c>
      <c r="E38" s="50"/>
      <c r="F38" s="83">
        <v>12865</v>
      </c>
      <c r="G38" s="51"/>
    </row>
    <row r="39" spans="2:7" s="40" customFormat="1" ht="17.100000000000001" customHeight="1" x14ac:dyDescent="0.25">
      <c r="B39" s="49"/>
      <c r="C39" s="42" t="s">
        <v>79</v>
      </c>
      <c r="D39" s="193" t="s">
        <v>1</v>
      </c>
      <c r="E39" s="50"/>
      <c r="F39" s="83">
        <v>33542</v>
      </c>
      <c r="G39" s="51"/>
    </row>
    <row r="40" spans="2:7" s="40" customFormat="1" ht="17.100000000000001" customHeight="1" x14ac:dyDescent="0.25">
      <c r="B40" s="49"/>
      <c r="C40" s="42" t="s">
        <v>80</v>
      </c>
      <c r="D40" s="193" t="s">
        <v>320</v>
      </c>
      <c r="E40" s="50"/>
      <c r="F40" s="83">
        <v>40210</v>
      </c>
      <c r="G40" s="51"/>
    </row>
    <row r="41" spans="2:7" s="40" customFormat="1" ht="17.100000000000001" customHeight="1" x14ac:dyDescent="0.25">
      <c r="B41" s="49"/>
      <c r="C41" s="42" t="s">
        <v>81</v>
      </c>
      <c r="D41" s="193" t="s">
        <v>82</v>
      </c>
      <c r="E41" s="50"/>
      <c r="F41" s="83">
        <v>4820</v>
      </c>
      <c r="G41" s="51"/>
    </row>
    <row r="42" spans="2:7" s="40" customFormat="1" ht="17.100000000000001" customHeight="1" x14ac:dyDescent="0.25">
      <c r="B42" s="49"/>
      <c r="C42" s="42" t="s">
        <v>83</v>
      </c>
      <c r="D42" s="193" t="s">
        <v>173</v>
      </c>
      <c r="E42" s="50"/>
      <c r="F42" s="83">
        <v>78243</v>
      </c>
      <c r="G42" s="51"/>
    </row>
    <row r="43" spans="2:7" s="40" customFormat="1" ht="17.100000000000001" customHeight="1" x14ac:dyDescent="0.25">
      <c r="B43" s="49"/>
      <c r="C43" s="42" t="s">
        <v>321</v>
      </c>
      <c r="D43" s="193" t="s">
        <v>174</v>
      </c>
      <c r="E43" s="50"/>
      <c r="F43" s="83">
        <v>23826</v>
      </c>
      <c r="G43" s="51"/>
    </row>
    <row r="44" spans="2:7" s="40" customFormat="1" ht="17.100000000000001" customHeight="1" x14ac:dyDescent="0.25">
      <c r="B44" s="49"/>
      <c r="C44" s="42" t="s">
        <v>84</v>
      </c>
      <c r="D44" s="193" t="s">
        <v>63</v>
      </c>
      <c r="E44" s="50"/>
      <c r="F44" s="83">
        <v>0</v>
      </c>
      <c r="G44" s="51"/>
    </row>
    <row r="45" spans="2:7" s="40" customFormat="1" ht="17.100000000000001" customHeight="1" x14ac:dyDescent="0.25">
      <c r="B45" s="49"/>
      <c r="C45" s="42" t="s">
        <v>85</v>
      </c>
      <c r="D45" s="193" t="s">
        <v>322</v>
      </c>
      <c r="E45" s="50"/>
      <c r="F45" s="83">
        <v>33457</v>
      </c>
      <c r="G45" s="51"/>
    </row>
    <row r="46" spans="2:7" s="40" customFormat="1" ht="17.100000000000001" customHeight="1" x14ac:dyDescent="0.25">
      <c r="B46" s="49"/>
      <c r="C46" s="42" t="s">
        <v>86</v>
      </c>
      <c r="D46" s="193" t="s">
        <v>87</v>
      </c>
      <c r="E46" s="50"/>
      <c r="F46" s="83">
        <v>8257</v>
      </c>
      <c r="G46" s="51"/>
    </row>
    <row r="47" spans="2:7" s="40" customFormat="1" ht="17.100000000000001" customHeight="1" x14ac:dyDescent="0.25">
      <c r="B47" s="49"/>
      <c r="C47" s="42" t="s">
        <v>88</v>
      </c>
      <c r="D47" s="193" t="s">
        <v>89</v>
      </c>
      <c r="E47" s="50"/>
      <c r="F47" s="83">
        <v>0</v>
      </c>
      <c r="G47" s="51"/>
    </row>
    <row r="48" spans="2:7" s="40" customFormat="1" ht="17.100000000000001" customHeight="1" x14ac:dyDescent="0.25">
      <c r="B48" s="49"/>
      <c r="C48" s="42" t="s">
        <v>90</v>
      </c>
      <c r="D48" s="193" t="s">
        <v>91</v>
      </c>
      <c r="E48" s="50"/>
      <c r="F48" s="83">
        <v>110150</v>
      </c>
      <c r="G48" s="51"/>
    </row>
    <row r="49" spans="2:7" s="40" customFormat="1" ht="17.100000000000001" customHeight="1" x14ac:dyDescent="0.25">
      <c r="B49" s="49"/>
      <c r="C49" s="42" t="s">
        <v>92</v>
      </c>
      <c r="D49" s="193" t="s">
        <v>93</v>
      </c>
      <c r="E49" s="50"/>
      <c r="F49" s="83">
        <v>30814</v>
      </c>
      <c r="G49" s="51"/>
    </row>
    <row r="50" spans="2:7" s="40" customFormat="1" ht="17.100000000000001" customHeight="1" x14ac:dyDescent="0.25">
      <c r="B50" s="49"/>
      <c r="C50" s="42" t="s">
        <v>323</v>
      </c>
      <c r="D50" s="193" t="s">
        <v>324</v>
      </c>
      <c r="E50" s="50"/>
      <c r="F50" s="83">
        <v>39090</v>
      </c>
      <c r="G50" s="51"/>
    </row>
    <row r="51" spans="2:7" s="40" customFormat="1" ht="17.100000000000001" customHeight="1" x14ac:dyDescent="0.25">
      <c r="B51" s="49"/>
      <c r="C51" s="42" t="s">
        <v>94</v>
      </c>
      <c r="D51" s="193" t="s">
        <v>325</v>
      </c>
      <c r="E51" s="50"/>
      <c r="F51" s="83">
        <v>33459</v>
      </c>
      <c r="G51" s="51"/>
    </row>
    <row r="52" spans="2:7" s="40" customFormat="1" ht="17.100000000000001" customHeight="1" x14ac:dyDescent="0.25">
      <c r="B52" s="49"/>
      <c r="C52" s="42" t="s">
        <v>95</v>
      </c>
      <c r="D52" s="193" t="s">
        <v>326</v>
      </c>
      <c r="E52" s="50"/>
      <c r="F52" s="83">
        <v>0</v>
      </c>
      <c r="G52" s="51"/>
    </row>
    <row r="53" spans="2:7" s="40" customFormat="1" ht="17.100000000000001" customHeight="1" x14ac:dyDescent="0.25">
      <c r="B53" s="49"/>
      <c r="C53" s="42" t="s">
        <v>96</v>
      </c>
      <c r="D53" s="193" t="s">
        <v>327</v>
      </c>
      <c r="E53" s="50"/>
      <c r="F53" s="83">
        <v>0</v>
      </c>
      <c r="G53" s="51"/>
    </row>
    <row r="54" spans="2:7" s="40" customFormat="1" ht="17.100000000000001" customHeight="1" x14ac:dyDescent="0.25">
      <c r="B54" s="49"/>
      <c r="C54" s="42" t="s">
        <v>97</v>
      </c>
      <c r="D54" s="193" t="s">
        <v>328</v>
      </c>
      <c r="E54" s="50"/>
      <c r="F54" s="83">
        <v>0</v>
      </c>
      <c r="G54" s="51"/>
    </row>
    <row r="55" spans="2:7" s="40" customFormat="1" ht="17.100000000000001" customHeight="1" x14ac:dyDescent="0.25">
      <c r="B55" s="49"/>
      <c r="C55" s="42" t="s">
        <v>98</v>
      </c>
      <c r="D55" s="193" t="s">
        <v>329</v>
      </c>
      <c r="E55" s="50"/>
      <c r="F55" s="83">
        <v>0</v>
      </c>
      <c r="G55" s="51"/>
    </row>
    <row r="56" spans="2:7" ht="15.75" thickBot="1" x14ac:dyDescent="0.25">
      <c r="B56" s="53"/>
      <c r="C56" s="54"/>
      <c r="D56" s="54"/>
      <c r="E56" s="54"/>
      <c r="F56" s="54"/>
      <c r="G56" s="55"/>
    </row>
    <row r="57" spans="2:7" x14ac:dyDescent="0.2"/>
    <row r="58" spans="2:7" x14ac:dyDescent="0.2"/>
    <row r="59" spans="2:7" x14ac:dyDescent="0.2"/>
    <row r="60" spans="2:7" hidden="1" x14ac:dyDescent="0.2"/>
    <row r="61" spans="2:7" hidden="1" x14ac:dyDescent="0.2"/>
    <row r="62" spans="2:7" hidden="1" x14ac:dyDescent="0.2"/>
    <row r="63" spans="2:7" hidden="1" x14ac:dyDescent="0.2"/>
    <row r="64" spans="2: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sheetData>
  <sheetProtection formatColumns="0" formatRows="0" insertColumns="0" insertRows="0"/>
  <mergeCells count="14">
    <mergeCell ref="C3:D3"/>
    <mergeCell ref="C5:F5"/>
    <mergeCell ref="C6:F6"/>
    <mergeCell ref="C22:D22"/>
    <mergeCell ref="C19:D19"/>
    <mergeCell ref="C18:D18"/>
    <mergeCell ref="C15:D15"/>
    <mergeCell ref="C14:D14"/>
    <mergeCell ref="C21:D21"/>
    <mergeCell ref="C17:D17"/>
    <mergeCell ref="C13:D13"/>
    <mergeCell ref="C11:D11"/>
    <mergeCell ref="C9:D9"/>
    <mergeCell ref="C10:D10"/>
  </mergeCells>
  <dataValidations disablePrompts="1" count="2">
    <dataValidation allowBlank="1" showInputMessage="1" showErrorMessage="1" prompt="= sum of all the lessons being taught across the timetable by each teacher" sqref="C19"/>
    <dataValidation allowBlank="1" showInputMessage="1" showErrorMessage="1" prompt="= total periods in day multiplied by days in timetable cycle" sqref="C18"/>
  </dataValidations>
  <hyperlinks>
    <hyperlink ref="C5:F5" location="Dashboard!G30" display="Dashboard!G30"/>
  </hyperlinks>
  <pageMargins left="0.7" right="0.7" top="0.75" bottom="0.75" header="0.3" footer="0.3"/>
  <pageSetup paperSize="9"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14999847407452621"/>
    <pageSetUpPr fitToPage="1"/>
  </sheetPr>
  <dimension ref="A1:U105"/>
  <sheetViews>
    <sheetView showGridLines="0" showRowColHeaders="0" zoomScale="80" zoomScaleNormal="80" workbookViewId="0"/>
  </sheetViews>
  <sheetFormatPr defaultColWidth="0" defaultRowHeight="15" zeroHeight="1" x14ac:dyDescent="0.2"/>
  <cols>
    <col min="1" max="1" width="9" style="39" customWidth="1"/>
    <col min="2" max="2" width="79.85546875" style="39" customWidth="1"/>
    <col min="3" max="3" width="3" style="39" customWidth="1"/>
    <col min="4" max="4" width="21.140625" style="39" bestFit="1" customWidth="1"/>
    <col min="5" max="5" width="14.28515625" style="39" bestFit="1" customWidth="1"/>
    <col min="6" max="6" width="2" style="39" customWidth="1"/>
    <col min="7" max="7" width="12" style="39" bestFit="1" customWidth="1"/>
    <col min="8" max="8" width="10" style="39" bestFit="1" customWidth="1"/>
    <col min="9" max="9" width="4.42578125" style="39" bestFit="1" customWidth="1"/>
    <col min="10" max="10" width="10" style="39" bestFit="1" customWidth="1"/>
    <col min="11" max="11" width="2" style="39" customWidth="1"/>
    <col min="12" max="12" width="23.42578125" style="39" bestFit="1" customWidth="1"/>
    <col min="13" max="13" width="10" style="39" customWidth="1"/>
    <col min="14" max="14" width="4.42578125" style="39" bestFit="1" customWidth="1"/>
    <col min="15" max="15" width="10" style="39" customWidth="1"/>
    <col min="16" max="16" width="2" style="39" customWidth="1"/>
    <col min="17" max="17" width="11.140625" style="39" customWidth="1"/>
    <col min="18" max="18" width="10" style="39" bestFit="1" customWidth="1"/>
    <col min="19" max="19" width="4.42578125" style="39" bestFit="1" customWidth="1"/>
    <col min="20" max="20" width="10" style="39" bestFit="1" customWidth="1"/>
    <col min="21" max="21" width="9" style="39" customWidth="1"/>
    <col min="22" max="16384" width="18.7109375" style="39" hidden="1"/>
  </cols>
  <sheetData>
    <row r="1" spans="2:20" x14ac:dyDescent="0.2"/>
    <row r="2" spans="2:20" x14ac:dyDescent="0.2">
      <c r="B2" s="39" t="s">
        <v>128</v>
      </c>
      <c r="G2" s="145"/>
      <c r="H2" s="346" t="s">
        <v>340</v>
      </c>
      <c r="I2" s="347"/>
      <c r="J2" s="347"/>
      <c r="K2" s="347"/>
      <c r="L2" s="347"/>
      <c r="M2" s="347"/>
      <c r="N2" s="347"/>
      <c r="O2" s="347"/>
      <c r="P2" s="347"/>
      <c r="Q2" s="347"/>
      <c r="R2" s="347"/>
      <c r="S2" s="347"/>
      <c r="T2" s="348"/>
    </row>
    <row r="3" spans="2:20" x14ac:dyDescent="0.2">
      <c r="B3" s="123" t="str">
        <f>IF(Dashboard!D15="","","- "&amp;
INDEX(Calcs!L:L,MATCH(Dashboard!D15,Calcs!A:A,0)))</f>
        <v>- a primary school</v>
      </c>
      <c r="H3" s="349"/>
      <c r="I3" s="350"/>
      <c r="J3" s="350"/>
      <c r="K3" s="350"/>
      <c r="L3" s="350"/>
      <c r="M3" s="350"/>
      <c r="N3" s="350"/>
      <c r="O3" s="350"/>
      <c r="P3" s="350"/>
      <c r="Q3" s="350"/>
      <c r="R3" s="350"/>
      <c r="S3" s="350"/>
      <c r="T3" s="351"/>
    </row>
    <row r="4" spans="2:20" x14ac:dyDescent="0.2">
      <c r="B4" s="123" t="str">
        <f>IF(Dashboard!D15="","","- "&amp;
INDEX(Calcs!I:I,MATCH(Dashboard!D15,Calcs!A:A,0)))</f>
        <v>- outside London</v>
      </c>
      <c r="H4" s="349"/>
      <c r="I4" s="350"/>
      <c r="J4" s="350"/>
      <c r="K4" s="350"/>
      <c r="L4" s="350"/>
      <c r="M4" s="350"/>
      <c r="N4" s="350"/>
      <c r="O4" s="350"/>
      <c r="P4" s="350"/>
      <c r="Q4" s="350"/>
      <c r="R4" s="350"/>
      <c r="S4" s="350"/>
      <c r="T4" s="351"/>
    </row>
    <row r="5" spans="2:20" x14ac:dyDescent="0.2">
      <c r="B5" s="123" t="str">
        <f>IF(Dashboard!D15="","",
IF(OR($B$3="- an alternative provision school",$B$3="- a special school",$B$3="- an all-through school",$B$3="- a nursery school"),"",
"- a "&amp;INDEX(Calcs!J:J,MATCH(Dashboard!D15,Calcs!A:A,0))&amp;" school because it has "&amp;INDEX(Calcs!M:M,MATCH(Dashboard!D15,Calcs!A:A,0))))</f>
        <v>- a large school because it has more than 385 pupils</v>
      </c>
      <c r="H5" s="349"/>
      <c r="I5" s="350"/>
      <c r="J5" s="350"/>
      <c r="K5" s="350"/>
      <c r="L5" s="350"/>
      <c r="M5" s="350"/>
      <c r="N5" s="350"/>
      <c r="O5" s="350"/>
      <c r="P5" s="350"/>
      <c r="Q5" s="350"/>
      <c r="R5" s="350"/>
      <c r="S5" s="350"/>
      <c r="T5" s="351"/>
    </row>
    <row r="6" spans="2:20" x14ac:dyDescent="0.2">
      <c r="B6" s="123" t="str">
        <f>IF(Dashboard!D15="","",
IF(OR($B$3="- an alternative provision school",$B$3="- a special school",$B$3="- an all-through school",$B$3="- a nursery school"),"",
"- a school with "&amp;INDEX(Calcs!K:K,MATCH(Dashboard!D15,Calcs!A:A,0))&amp;" because "&amp;INDEX(Calcs!N:N,MATCH(Dashboard!D15,Calcs!A:A,0))&amp;" are eligible"))</f>
        <v>- a school with low levels of FSM because less than 5% of pupils are eligible</v>
      </c>
      <c r="H6" s="349"/>
      <c r="I6" s="350"/>
      <c r="J6" s="350"/>
      <c r="K6" s="350"/>
      <c r="L6" s="350"/>
      <c r="M6" s="350"/>
      <c r="N6" s="350"/>
      <c r="O6" s="350"/>
      <c r="P6" s="350"/>
      <c r="Q6" s="350"/>
      <c r="R6" s="350"/>
      <c r="S6" s="350"/>
      <c r="T6" s="351"/>
    </row>
    <row r="7" spans="2:20" x14ac:dyDescent="0.2">
      <c r="B7" s="123"/>
      <c r="H7" s="349"/>
      <c r="I7" s="350"/>
      <c r="J7" s="350"/>
      <c r="K7" s="350"/>
      <c r="L7" s="350"/>
      <c r="M7" s="350"/>
      <c r="N7" s="350"/>
      <c r="O7" s="350"/>
      <c r="P7" s="350"/>
      <c r="Q7" s="350"/>
      <c r="R7" s="350"/>
      <c r="S7" s="350"/>
      <c r="T7" s="351"/>
    </row>
    <row r="8" spans="2:20" x14ac:dyDescent="0.2">
      <c r="B8" s="123"/>
      <c r="H8" s="349"/>
      <c r="I8" s="350"/>
      <c r="J8" s="350"/>
      <c r="K8" s="350"/>
      <c r="L8" s="350"/>
      <c r="M8" s="350"/>
      <c r="N8" s="350"/>
      <c r="O8" s="350"/>
      <c r="P8" s="350"/>
      <c r="Q8" s="350"/>
      <c r="R8" s="350"/>
      <c r="S8" s="350"/>
      <c r="T8" s="351"/>
    </row>
    <row r="9" spans="2:20" x14ac:dyDescent="0.2">
      <c r="B9" s="16"/>
      <c r="H9" s="349"/>
      <c r="I9" s="350"/>
      <c r="J9" s="350"/>
      <c r="K9" s="350"/>
      <c r="L9" s="350"/>
      <c r="M9" s="350"/>
      <c r="N9" s="350"/>
      <c r="O9" s="350"/>
      <c r="P9" s="350"/>
      <c r="Q9" s="350"/>
      <c r="R9" s="350"/>
      <c r="S9" s="350"/>
      <c r="T9" s="351"/>
    </row>
    <row r="10" spans="2:20" x14ac:dyDescent="0.2">
      <c r="B10" s="39" t="s">
        <v>135</v>
      </c>
      <c r="H10" s="352"/>
      <c r="I10" s="353"/>
      <c r="J10" s="353"/>
      <c r="K10" s="353"/>
      <c r="L10" s="353"/>
      <c r="M10" s="353"/>
      <c r="N10" s="353"/>
      <c r="O10" s="353"/>
      <c r="P10" s="353"/>
      <c r="Q10" s="353"/>
      <c r="R10" s="353"/>
      <c r="S10" s="353"/>
      <c r="T10" s="354"/>
    </row>
    <row r="11" spans="2:20" x14ac:dyDescent="0.2"/>
    <row r="12" spans="2:20" ht="15.75" x14ac:dyDescent="0.2">
      <c r="B12" s="56" t="s">
        <v>126</v>
      </c>
      <c r="C12" s="56"/>
      <c r="D12" s="57"/>
      <c r="E12" s="57"/>
      <c r="F12" s="56"/>
      <c r="G12" s="57"/>
      <c r="H12" s="57"/>
      <c r="I12" s="57"/>
      <c r="J12" s="57"/>
      <c r="K12" s="56"/>
      <c r="L12" s="57"/>
      <c r="M12" s="57"/>
      <c r="N12" s="57"/>
      <c r="O12" s="57"/>
      <c r="P12" s="56"/>
      <c r="Q12" s="57"/>
      <c r="R12" s="57"/>
      <c r="S12" s="57"/>
      <c r="T12" s="57"/>
    </row>
    <row r="13" spans="2:20" ht="5.65" customHeight="1" x14ac:dyDescent="0.2">
      <c r="D13" s="48"/>
      <c r="E13" s="48"/>
      <c r="G13" s="48"/>
      <c r="H13" s="48"/>
      <c r="I13" s="48"/>
      <c r="J13" s="48"/>
      <c r="L13" s="48"/>
      <c r="M13" s="48"/>
      <c r="N13" s="48"/>
      <c r="O13" s="48"/>
      <c r="Q13" s="48"/>
      <c r="R13" s="48"/>
      <c r="S13" s="48"/>
      <c r="T13" s="48"/>
    </row>
    <row r="14" spans="2:20" x14ac:dyDescent="0.2">
      <c r="D14" s="344" t="s">
        <v>114</v>
      </c>
      <c r="E14" s="345"/>
      <c r="G14" s="333" t="s">
        <v>116</v>
      </c>
      <c r="H14" s="334"/>
      <c r="I14" s="334"/>
      <c r="J14" s="335"/>
      <c r="L14" s="336" t="s">
        <v>121</v>
      </c>
      <c r="M14" s="337"/>
      <c r="N14" s="337"/>
      <c r="O14" s="338"/>
      <c r="Q14" s="339" t="s">
        <v>122</v>
      </c>
      <c r="R14" s="340"/>
      <c r="S14" s="340"/>
      <c r="T14" s="341"/>
    </row>
    <row r="15" spans="2:20" ht="5.65" customHeight="1" x14ac:dyDescent="0.2">
      <c r="D15" s="48"/>
      <c r="E15" s="48"/>
      <c r="G15" s="48"/>
      <c r="H15" s="48"/>
      <c r="I15" s="48"/>
      <c r="J15" s="48"/>
      <c r="L15" s="48"/>
      <c r="M15" s="48"/>
      <c r="N15" s="48"/>
      <c r="O15" s="48"/>
      <c r="Q15" s="48"/>
      <c r="R15" s="48"/>
      <c r="S15" s="48"/>
      <c r="T15" s="48"/>
    </row>
    <row r="16" spans="2:20" ht="15.75" x14ac:dyDescent="0.25">
      <c r="B16" s="342" t="s">
        <v>104</v>
      </c>
      <c r="D16" s="93" t="s">
        <v>115</v>
      </c>
      <c r="E16" s="127">
        <f ca="1">IF(Dashboard!D15="","",INDEX(INDIRECT(INDEX(Calcs!$D:$D,MATCH(Dashboard!D15,Calcs!$A:$A,0))),1,1))</f>
        <v>0.42</v>
      </c>
      <c r="F16" s="16"/>
      <c r="G16" s="85" t="s">
        <v>117</v>
      </c>
      <c r="H16" s="108">
        <f ca="1">IF(Dashboard!D15="","",INDEX(INDIRECT(INDEX(Calcs!$D:$D,MATCH(Dashboard!D15,Calcs!$A:$A,0))),1,1))</f>
        <v>0.42</v>
      </c>
      <c r="I16" s="88" t="s">
        <v>118</v>
      </c>
      <c r="J16" s="107">
        <f ca="1">IF(Dashboard!D15="","",INDEX(INDIRECT(INDEX(Calcs!$D:$D,MATCH(Dashboard!D15,Calcs!$A:$A,0))),1,2))</f>
        <v>0.44500000000000001</v>
      </c>
      <c r="K16" s="16"/>
      <c r="L16" s="85" t="s">
        <v>117</v>
      </c>
      <c r="M16" s="108">
        <f ca="1">IF(Dashboard!D15="","",INDEX(INDIRECT(INDEX(Calcs!$D:$D,MATCH(Dashboard!D15,Calcs!$A:$A,0))),1,2))</f>
        <v>0.44500000000000001</v>
      </c>
      <c r="N16" s="88" t="s">
        <v>118</v>
      </c>
      <c r="O16" s="107">
        <f ca="1">IF(Dashboard!D15="","",INDEX(INDIRECT(INDEX(Calcs!$D:$D,MATCH(Dashboard!D15,Calcs!$A:$A,0))),1,3))</f>
        <v>0.47</v>
      </c>
      <c r="P16" s="16"/>
      <c r="Q16" s="85" t="s">
        <v>117</v>
      </c>
      <c r="R16" s="108">
        <f ca="1">IF(Dashboard!D15="","",INDEX(INDIRECT(INDEX(Calcs!$D:$D,MATCH(Dashboard!D15,Calcs!$A:$A,0))),1,3))</f>
        <v>0.47</v>
      </c>
      <c r="S16" s="88" t="s">
        <v>118</v>
      </c>
      <c r="T16" s="107">
        <f ca="1">IF(Dashboard!D15="","",INDEX(INDIRECT(INDEX(Calcs!$D:$D,MATCH(Dashboard!D15,Calcs!$A:$A,0))),1,5))</f>
        <v>0.49</v>
      </c>
    </row>
    <row r="17" spans="2:20" ht="15.75" x14ac:dyDescent="0.25">
      <c r="B17" s="343"/>
      <c r="D17" s="97" t="s">
        <v>120</v>
      </c>
      <c r="E17" s="122">
        <f ca="1">IF(Dashboard!D15="","",INDEX(INDIRECT(INDEX(Calcs!$D:$D,MATCH(Dashboard!D15,Calcs!$A:$A,0))),1,7))</f>
        <v>0.53</v>
      </c>
      <c r="F17" s="16"/>
      <c r="G17" s="97" t="s">
        <v>119</v>
      </c>
      <c r="H17" s="109">
        <f ca="1">IF(Dashboard!D15="","",INDEX(INDIRECT(INDEX(Calcs!$D:$D,MATCH(Dashboard!D15,Calcs!$A:$A,0))),1,6))</f>
        <v>0.51</v>
      </c>
      <c r="I17" s="91" t="s">
        <v>118</v>
      </c>
      <c r="J17" s="122">
        <f ca="1">IF(Dashboard!D15="","",INDEX(INDIRECT(INDEX(Calcs!$D:$D,MATCH(Dashboard!D15,Calcs!$A:$A,0))),1,7))</f>
        <v>0.53</v>
      </c>
      <c r="K17" s="16"/>
      <c r="L17" s="97" t="s">
        <v>119</v>
      </c>
      <c r="M17" s="109">
        <f ca="1">IF(Dashboard!D15="","",INDEX(INDIRECT(INDEX(Calcs!$D:$D,MATCH(Dashboard!D15,Calcs!$A:$A,0))),1,5))</f>
        <v>0.49</v>
      </c>
      <c r="N17" s="91" t="s">
        <v>118</v>
      </c>
      <c r="O17" s="122">
        <f ca="1">IF(Dashboard!D15="","",INDEX(INDIRECT(INDEX(Calcs!$D:$D,MATCH(Dashboard!D15,Calcs!$A:$A,0))),1,6))</f>
        <v>0.51</v>
      </c>
      <c r="P17" s="16"/>
      <c r="Q17" s="97"/>
      <c r="R17" s="91"/>
      <c r="S17" s="91"/>
      <c r="T17" s="90"/>
    </row>
    <row r="18" spans="2:20" ht="5.45" customHeight="1" x14ac:dyDescent="0.2">
      <c r="B18" s="41"/>
      <c r="D18" s="16"/>
      <c r="E18" s="16"/>
      <c r="F18" s="16"/>
      <c r="G18" s="16"/>
      <c r="H18" s="16"/>
      <c r="I18" s="16"/>
      <c r="J18" s="16"/>
      <c r="K18" s="16"/>
      <c r="L18" s="16"/>
      <c r="M18" s="16"/>
      <c r="N18" s="16"/>
      <c r="O18" s="16"/>
      <c r="P18" s="16"/>
      <c r="Q18" s="16"/>
      <c r="R18" s="16"/>
      <c r="S18" s="16"/>
      <c r="T18" s="16"/>
    </row>
    <row r="19" spans="2:20" ht="15.75" x14ac:dyDescent="0.25">
      <c r="B19" s="342" t="s">
        <v>105</v>
      </c>
      <c r="D19" s="85" t="s">
        <v>123</v>
      </c>
      <c r="E19" s="107">
        <f ca="1">IF(Dashboard!D15="","",INDEX(INDIRECT(INDEX(Calcs!$D:$D,MATCH(Dashboard!D15,Calcs!$A:$A,0))),2,7))</f>
        <v>0.05</v>
      </c>
      <c r="F19" s="16"/>
      <c r="G19" s="85" t="s">
        <v>117</v>
      </c>
      <c r="H19" s="108">
        <f ca="1">IF(Dashboard!D15="","",INDEX(INDIRECT(INDEX(Calcs!$D:$D,MATCH(Dashboard!D15,Calcs!$A:$A,0))),2,6))</f>
        <v>3.5000000000000003E-2</v>
      </c>
      <c r="I19" s="88" t="s">
        <v>118</v>
      </c>
      <c r="J19" s="107">
        <f ca="1">IF(Dashboard!D15="","",INDEX(INDIRECT(INDEX(Calcs!$D:$D,MATCH(Dashboard!D15,Calcs!$A:$A,0))),2,7))</f>
        <v>0.05</v>
      </c>
      <c r="K19" s="16"/>
      <c r="L19" s="85" t="s">
        <v>117</v>
      </c>
      <c r="M19" s="108">
        <f ca="1">IF(Dashboard!D15="","",INDEX(INDIRECT(INDEX(Calcs!$D:$D,MATCH(Dashboard!D15,Calcs!$A:$A,0))),2,5))</f>
        <v>2.5000000000000001E-2</v>
      </c>
      <c r="N19" s="88" t="s">
        <v>118</v>
      </c>
      <c r="O19" s="107">
        <f ca="1">IF(Dashboard!D15="","",INDEX(INDIRECT(INDEX(Calcs!$D:$D,MATCH(Dashboard!D15,Calcs!$A:$A,0))),2,6))</f>
        <v>3.5000000000000003E-2</v>
      </c>
      <c r="P19" s="16"/>
      <c r="Q19" s="85" t="s">
        <v>117</v>
      </c>
      <c r="R19" s="108">
        <f ca="1">IF(Dashboard!D15="","",INDEX(INDIRECT(INDEX(Calcs!$D:$D,MATCH(Dashboard!D15,Calcs!$A:$A,0))),2,3))</f>
        <v>1.4999999999999999E-2</v>
      </c>
      <c r="S19" s="88" t="s">
        <v>118</v>
      </c>
      <c r="T19" s="107">
        <f ca="1">IF(Dashboard!D15="","",INDEX(INDIRECT(INDEX(Calcs!$D:$D,MATCH(Dashboard!D15,Calcs!$A:$A,0))),2,5))</f>
        <v>2.5000000000000001E-2</v>
      </c>
    </row>
    <row r="20" spans="2:20" ht="15.75" x14ac:dyDescent="0.25">
      <c r="B20" s="343"/>
      <c r="D20" s="97"/>
      <c r="E20" s="90"/>
      <c r="F20" s="16"/>
      <c r="G20" s="97"/>
      <c r="H20" s="91"/>
      <c r="I20" s="91"/>
      <c r="J20" s="90"/>
      <c r="K20" s="16"/>
      <c r="L20" s="97" t="s">
        <v>124</v>
      </c>
      <c r="M20" s="109">
        <f ca="1">IF(Dashboard!D15="","",INDEX(INDIRECT(INDEX(Calcs!$D:$D,MATCH(Dashboard!D15,Calcs!$A:$A,0))),2,3))</f>
        <v>1.4999999999999999E-2</v>
      </c>
      <c r="N20" s="91"/>
      <c r="O20" s="90"/>
      <c r="P20" s="16"/>
      <c r="Q20" s="97"/>
      <c r="R20" s="91"/>
      <c r="S20" s="91"/>
      <c r="T20" s="90"/>
    </row>
    <row r="21" spans="2:20" ht="5.25" customHeight="1" x14ac:dyDescent="0.2">
      <c r="B21" s="41"/>
      <c r="D21" s="16"/>
      <c r="E21" s="16"/>
      <c r="F21" s="16"/>
      <c r="G21" s="16"/>
      <c r="H21" s="16"/>
      <c r="I21" s="16"/>
      <c r="J21" s="16"/>
      <c r="K21" s="16"/>
      <c r="L21" s="16"/>
      <c r="M21" s="16"/>
      <c r="N21" s="16"/>
      <c r="O21" s="16"/>
      <c r="P21" s="16"/>
      <c r="Q21" s="16"/>
      <c r="R21" s="16"/>
      <c r="S21" s="16"/>
      <c r="T21" s="16"/>
    </row>
    <row r="22" spans="2:20" ht="15.75" x14ac:dyDescent="0.25">
      <c r="B22" s="342" t="s">
        <v>106</v>
      </c>
      <c r="D22" s="85" t="s">
        <v>123</v>
      </c>
      <c r="E22" s="107">
        <f ca="1">IF(Dashboard!D15="","",INDEX(INDIRECT(INDEX(Calcs!$D:$D,MATCH(Dashboard!D15,Calcs!$A:$A,0))),3,7))</f>
        <v>0.21</v>
      </c>
      <c r="F22" s="16"/>
      <c r="G22" s="85" t="s">
        <v>117</v>
      </c>
      <c r="H22" s="108">
        <f ca="1">IF(Dashboard!D15="","",INDEX(INDIRECT(INDEX(Calcs!$D:$D,MATCH(Dashboard!D15,Calcs!$A:$A,0))),3,6))</f>
        <v>0.19500000000000001</v>
      </c>
      <c r="I22" s="88" t="s">
        <v>118</v>
      </c>
      <c r="J22" s="107">
        <f ca="1">IF(Dashboard!D15="","",INDEX(INDIRECT(INDEX(Calcs!$D:$D,MATCH(Dashboard!D15,Calcs!$A:$A,0))),3,7))</f>
        <v>0.21</v>
      </c>
      <c r="K22" s="16"/>
      <c r="L22" s="85" t="s">
        <v>117</v>
      </c>
      <c r="M22" s="108">
        <f ca="1">IF(Dashboard!D15="","",INDEX(INDIRECT(INDEX(Calcs!$D:$D,MATCH(Dashboard!D15,Calcs!$A:$A,0))),3,5))</f>
        <v>0.17</v>
      </c>
      <c r="N22" s="88" t="s">
        <v>118</v>
      </c>
      <c r="O22" s="107">
        <f ca="1">IF(Dashboard!D15="","",INDEX(INDIRECT(INDEX(Calcs!$D:$D,MATCH(Dashboard!D15,Calcs!$A:$A,0))),3,6))</f>
        <v>0.19500000000000001</v>
      </c>
      <c r="P22" s="16"/>
      <c r="Q22" s="85" t="s">
        <v>117</v>
      </c>
      <c r="R22" s="108">
        <f ca="1">IF(Dashboard!D15="","",INDEX(INDIRECT(INDEX(Calcs!$D:$D,MATCH(Dashboard!D15,Calcs!$A:$A,0))),3,3))</f>
        <v>0.155</v>
      </c>
      <c r="S22" s="88" t="s">
        <v>118</v>
      </c>
      <c r="T22" s="107">
        <f ca="1">IF(Dashboard!D15="","",INDEX(INDIRECT(INDEX(Calcs!$D:$D,MATCH(Dashboard!D15,Calcs!$A:$A,0))),3,5))</f>
        <v>0.17</v>
      </c>
    </row>
    <row r="23" spans="2:20" ht="15.75" x14ac:dyDescent="0.25">
      <c r="B23" s="343"/>
      <c r="D23" s="97"/>
      <c r="E23" s="90"/>
      <c r="F23" s="16"/>
      <c r="G23" s="97"/>
      <c r="H23" s="91"/>
      <c r="I23" s="91"/>
      <c r="J23" s="90"/>
      <c r="K23" s="16"/>
      <c r="L23" s="97" t="s">
        <v>124</v>
      </c>
      <c r="M23" s="109">
        <f ca="1">IF(Dashboard!D15="","",INDEX(INDIRECT(INDEX(Calcs!$D:$D,MATCH(Dashboard!D15,Calcs!$A:$A,0))),3,3))</f>
        <v>0.155</v>
      </c>
      <c r="N23" s="91"/>
      <c r="O23" s="90"/>
      <c r="P23" s="16"/>
      <c r="Q23" s="97"/>
      <c r="R23" s="91"/>
      <c r="S23" s="91"/>
      <c r="T23" s="90"/>
    </row>
    <row r="24" spans="2:20" ht="5.25" customHeight="1" x14ac:dyDescent="0.2">
      <c r="B24" s="41"/>
      <c r="D24" s="16"/>
      <c r="E24" s="16"/>
      <c r="F24" s="16"/>
      <c r="G24" s="16"/>
      <c r="H24" s="16"/>
      <c r="I24" s="16"/>
      <c r="J24" s="16"/>
      <c r="K24" s="16"/>
      <c r="L24" s="16"/>
      <c r="M24" s="16"/>
      <c r="N24" s="16"/>
      <c r="O24" s="16"/>
      <c r="P24" s="16"/>
      <c r="Q24" s="16"/>
      <c r="R24" s="16"/>
      <c r="S24" s="16"/>
      <c r="T24" s="16"/>
    </row>
    <row r="25" spans="2:20" ht="15.75" x14ac:dyDescent="0.25">
      <c r="B25" s="342" t="s">
        <v>107</v>
      </c>
      <c r="D25" s="85" t="s">
        <v>123</v>
      </c>
      <c r="E25" s="107">
        <f ca="1">IF(Dashboard!D15="","",INDEX(INDIRECT(INDEX(Calcs!$D:$D,MATCH(Dashboard!D15,Calcs!$A:$A,0))),4,7))</f>
        <v>7.0000000000000007E-2</v>
      </c>
      <c r="F25" s="16"/>
      <c r="G25" s="85" t="s">
        <v>117</v>
      </c>
      <c r="H25" s="108">
        <f ca="1">IF(Dashboard!D15="","",INDEX(INDIRECT(INDEX(Calcs!$D:$D,MATCH(Dashboard!D15,Calcs!$A:$A,0))),4,6))</f>
        <v>0.06</v>
      </c>
      <c r="I25" s="88" t="s">
        <v>118</v>
      </c>
      <c r="J25" s="107">
        <f ca="1">IF(Dashboard!D15="","",INDEX(INDIRECT(INDEX(Calcs!$D:$D,MATCH(Dashboard!D15,Calcs!$A:$A,0))),4,7))</f>
        <v>7.0000000000000007E-2</v>
      </c>
      <c r="K25" s="16"/>
      <c r="L25" s="85" t="s">
        <v>115</v>
      </c>
      <c r="M25" s="108">
        <f ca="1">IF(Dashboard!D15="","",INDEX(INDIRECT(INDEX(Calcs!$D:$D,MATCH(Dashboard!D15,Calcs!$A:$A,0))),4,6))</f>
        <v>0.06</v>
      </c>
      <c r="N25" s="88"/>
      <c r="O25" s="120"/>
      <c r="P25" s="16"/>
      <c r="Q25" s="85"/>
      <c r="R25" s="88"/>
      <c r="S25" s="88"/>
      <c r="T25" s="120"/>
    </row>
    <row r="26" spans="2:20" x14ac:dyDescent="0.2">
      <c r="B26" s="343"/>
      <c r="D26" s="97"/>
      <c r="E26" s="90"/>
      <c r="F26" s="16"/>
      <c r="G26" s="97"/>
      <c r="H26" s="91"/>
      <c r="I26" s="91"/>
      <c r="J26" s="90"/>
      <c r="K26" s="16"/>
      <c r="L26" s="97"/>
      <c r="M26" s="91"/>
      <c r="N26" s="91"/>
      <c r="O26" s="90"/>
      <c r="P26" s="16"/>
      <c r="Q26" s="97"/>
      <c r="R26" s="91"/>
      <c r="S26" s="91"/>
      <c r="T26" s="90"/>
    </row>
    <row r="27" spans="2:20" ht="5.25" customHeight="1" x14ac:dyDescent="0.2">
      <c r="B27" s="41"/>
      <c r="D27" s="16"/>
      <c r="E27" s="16"/>
      <c r="F27" s="16"/>
      <c r="G27" s="16"/>
      <c r="H27" s="16"/>
      <c r="I27" s="16"/>
      <c r="J27" s="16"/>
      <c r="K27" s="16"/>
      <c r="L27" s="16"/>
      <c r="M27" s="16"/>
      <c r="N27" s="16"/>
      <c r="O27" s="16"/>
      <c r="P27" s="16"/>
      <c r="Q27" s="16"/>
      <c r="R27" s="16"/>
      <c r="S27" s="16"/>
      <c r="T27" s="16"/>
    </row>
    <row r="28" spans="2:20" ht="15.75" x14ac:dyDescent="0.25">
      <c r="B28" s="342" t="s">
        <v>108</v>
      </c>
      <c r="D28" s="85" t="s">
        <v>123</v>
      </c>
      <c r="E28" s="107">
        <f ca="1">IF(Dashboard!D15="","",INDEX(INDIRECT(INDEX(Calcs!$D:$D,MATCH(Dashboard!D15,Calcs!$A:$A,0))),5,7))</f>
        <v>0.06</v>
      </c>
      <c r="F28" s="16"/>
      <c r="G28" s="85" t="s">
        <v>117</v>
      </c>
      <c r="H28" s="108">
        <f ca="1">IF(Dashboard!D15="","",INDEX(INDIRECT(INDEX(Calcs!$D:$D,MATCH(Dashboard!D15,Calcs!$A:$A,0))),5,6))</f>
        <v>0.05</v>
      </c>
      <c r="I28" s="88" t="s">
        <v>118</v>
      </c>
      <c r="J28" s="107">
        <f ca="1">IF(Dashboard!D15="","",INDEX(INDIRECT(INDEX(Calcs!$D:$D,MATCH(Dashboard!D15,Calcs!$A:$A,0))),5,7))</f>
        <v>0.06</v>
      </c>
      <c r="K28" s="16"/>
      <c r="L28" s="85" t="s">
        <v>115</v>
      </c>
      <c r="M28" s="108">
        <f ca="1">IF(Dashboard!D15="","",INDEX(INDIRECT(INDEX(Calcs!$D:$D,MATCH(Dashboard!D15,Calcs!$A:$A,0))),5,6))</f>
        <v>0.05</v>
      </c>
      <c r="N28" s="88"/>
      <c r="O28" s="120"/>
      <c r="P28" s="16"/>
      <c r="Q28" s="85"/>
      <c r="R28" s="88"/>
      <c r="S28" s="88"/>
      <c r="T28" s="120"/>
    </row>
    <row r="29" spans="2:20" x14ac:dyDescent="0.2">
      <c r="B29" s="343"/>
      <c r="D29" s="97"/>
      <c r="E29" s="90"/>
      <c r="F29" s="16"/>
      <c r="G29" s="97"/>
      <c r="H29" s="91"/>
      <c r="I29" s="91"/>
      <c r="J29" s="90"/>
      <c r="K29" s="16"/>
      <c r="L29" s="97"/>
      <c r="M29" s="91"/>
      <c r="N29" s="91"/>
      <c r="O29" s="90"/>
      <c r="P29" s="16"/>
      <c r="Q29" s="97"/>
      <c r="R29" s="91"/>
      <c r="S29" s="91"/>
      <c r="T29" s="90"/>
    </row>
    <row r="30" spans="2:20" ht="5.25" customHeight="1" x14ac:dyDescent="0.2">
      <c r="B30" s="41"/>
      <c r="D30" s="16"/>
      <c r="E30" s="16"/>
      <c r="F30" s="16"/>
      <c r="G30" s="16"/>
      <c r="H30" s="16"/>
      <c r="I30" s="16"/>
      <c r="J30" s="16"/>
      <c r="K30" s="16"/>
      <c r="L30" s="16"/>
      <c r="M30" s="16"/>
      <c r="N30" s="16"/>
      <c r="O30" s="16"/>
      <c r="P30" s="16"/>
      <c r="Q30" s="16"/>
      <c r="R30" s="16"/>
      <c r="S30" s="16"/>
      <c r="T30" s="16"/>
    </row>
    <row r="31" spans="2:20" ht="15.75" x14ac:dyDescent="0.25">
      <c r="B31" s="342" t="s">
        <v>109</v>
      </c>
      <c r="D31" s="85" t="s">
        <v>123</v>
      </c>
      <c r="E31" s="107">
        <f ca="1">IF(Dashboard!D15="","",INDEX(INDIRECT(INDEX(Calcs!$D:$D,MATCH(Dashboard!D15,Calcs!$A:$A,0))),6,7))</f>
        <v>7.0000000000000007E-2</v>
      </c>
      <c r="F31" s="16"/>
      <c r="G31" s="85" t="s">
        <v>117</v>
      </c>
      <c r="H31" s="108">
        <f ca="1">IF(Dashboard!D15="","",INDEX(INDIRECT(INDEX(Calcs!$D:$D,MATCH(Dashboard!D15,Calcs!$A:$A,0))),6,6))</f>
        <v>0.06</v>
      </c>
      <c r="I31" s="88" t="s">
        <v>118</v>
      </c>
      <c r="J31" s="107">
        <f ca="1">IF(Dashboard!D15="","",INDEX(INDIRECT(INDEX(Calcs!$D:$D,MATCH(Dashboard!D15,Calcs!$A:$A,0))),6,7))</f>
        <v>7.0000000000000007E-2</v>
      </c>
      <c r="K31" s="16"/>
      <c r="L31" s="85" t="s">
        <v>115</v>
      </c>
      <c r="M31" s="108">
        <f ca="1">IF(Dashboard!D15="","",INDEX(INDIRECT(INDEX(Calcs!$D:$D,MATCH(Dashboard!D15,Calcs!$A:$A,0))),6,6))</f>
        <v>0.06</v>
      </c>
      <c r="N31" s="88"/>
      <c r="O31" s="120"/>
      <c r="P31" s="16"/>
      <c r="Q31" s="85"/>
      <c r="R31" s="88"/>
      <c r="S31" s="88"/>
      <c r="T31" s="120"/>
    </row>
    <row r="32" spans="2:20" x14ac:dyDescent="0.2">
      <c r="B32" s="343"/>
      <c r="D32" s="97"/>
      <c r="E32" s="90"/>
      <c r="F32" s="16"/>
      <c r="G32" s="97"/>
      <c r="H32" s="91"/>
      <c r="I32" s="91"/>
      <c r="J32" s="90"/>
      <c r="K32" s="16"/>
      <c r="L32" s="97"/>
      <c r="M32" s="91"/>
      <c r="N32" s="91"/>
      <c r="O32" s="90"/>
      <c r="P32" s="16"/>
      <c r="Q32" s="97"/>
      <c r="R32" s="91"/>
      <c r="S32" s="91"/>
      <c r="T32" s="90"/>
    </row>
    <row r="33" spans="2:20" ht="5.25" customHeight="1" x14ac:dyDescent="0.2">
      <c r="B33" s="41"/>
      <c r="D33" s="16"/>
      <c r="E33" s="16"/>
      <c r="F33" s="16"/>
      <c r="G33" s="16"/>
      <c r="H33" s="16"/>
      <c r="I33" s="16"/>
      <c r="J33" s="16"/>
      <c r="K33" s="16"/>
      <c r="L33" s="16"/>
      <c r="M33" s="16"/>
      <c r="N33" s="16"/>
      <c r="O33" s="16"/>
      <c r="P33" s="16"/>
      <c r="Q33" s="16"/>
      <c r="R33" s="16"/>
      <c r="S33" s="16"/>
      <c r="T33" s="16"/>
    </row>
    <row r="34" spans="2:20" ht="15.75" x14ac:dyDescent="0.25">
      <c r="B34" s="342" t="s">
        <v>110</v>
      </c>
      <c r="D34" s="85" t="s">
        <v>115</v>
      </c>
      <c r="E34" s="107">
        <f ca="1">IF(Dashboard!D15="","",INDEX(INDIRECT(INDEX(Calcs!$D:$D,MATCH(Dashboard!D15,Calcs!$A:$A,0))),7,1))</f>
        <v>0.03</v>
      </c>
      <c r="F34" s="16"/>
      <c r="G34" s="85" t="s">
        <v>117</v>
      </c>
      <c r="H34" s="108">
        <f ca="1">IF(Dashboard!D15="","",INDEX(INDIRECT(INDEX(Calcs!$D:$D,MATCH(Dashboard!D15,Calcs!$A:$A,0))),7,1))</f>
        <v>0.03</v>
      </c>
      <c r="I34" s="88" t="s">
        <v>118</v>
      </c>
      <c r="J34" s="107">
        <f ca="1">IF(Dashboard!D15="","",INDEX(INDIRECT(INDEX(Calcs!$D:$D,MATCH(Dashboard!D15,Calcs!$A:$A,0))),7,2))</f>
        <v>0.04</v>
      </c>
      <c r="K34" s="16"/>
      <c r="L34" s="85" t="s">
        <v>117</v>
      </c>
      <c r="M34" s="108">
        <f ca="1">IF(Dashboard!D15="","",INDEX(INDIRECT(INDEX(Calcs!$D:$D,MATCH(Dashboard!D15,Calcs!$A:$A,0))),7,2))</f>
        <v>0.04</v>
      </c>
      <c r="N34" s="88" t="s">
        <v>118</v>
      </c>
      <c r="O34" s="107">
        <f ca="1">IF(Dashboard!D15="","",INDEX(INDIRECT(INDEX(Calcs!$D:$D,MATCH(Dashboard!D15,Calcs!$A:$A,0))),7,3))</f>
        <v>4.4999999999999998E-2</v>
      </c>
      <c r="P34" s="16"/>
      <c r="Q34" s="85" t="s">
        <v>117</v>
      </c>
      <c r="R34" s="108">
        <f ca="1">IF(Dashboard!D15="","",INDEX(INDIRECT(INDEX(Calcs!$D:$D,MATCH(Dashboard!D15,Calcs!$A:$A,0))),7,3))</f>
        <v>4.4999999999999998E-2</v>
      </c>
      <c r="S34" s="88" t="s">
        <v>118</v>
      </c>
      <c r="T34" s="107">
        <f ca="1">IF(Dashboard!D15="","",INDEX(INDIRECT(INDEX(Calcs!$D:$D,MATCH(Dashboard!D15,Calcs!$A:$A,0))),7,5))</f>
        <v>5.5E-2</v>
      </c>
    </row>
    <row r="35" spans="2:20" ht="15.75" x14ac:dyDescent="0.25">
      <c r="B35" s="343"/>
      <c r="D35" s="97"/>
      <c r="E35" s="90"/>
      <c r="F35" s="16"/>
      <c r="G35" s="97"/>
      <c r="H35" s="91"/>
      <c r="I35" s="91"/>
      <c r="J35" s="90"/>
      <c r="K35" s="16"/>
      <c r="L35" s="97" t="s">
        <v>125</v>
      </c>
      <c r="M35" s="109">
        <f ca="1">IF(Dashboard!D15="","",INDEX(INDIRECT(INDEX(Calcs!$D:$D,MATCH(Dashboard!D15,Calcs!$A:$A,0))),7,5))</f>
        <v>5.5E-2</v>
      </c>
      <c r="N35" s="91"/>
      <c r="O35" s="90"/>
      <c r="P35" s="16"/>
      <c r="Q35" s="97"/>
      <c r="R35" s="91"/>
      <c r="S35" s="91"/>
      <c r="T35" s="90"/>
    </row>
    <row r="36" spans="2:20" ht="5.25" customHeight="1" x14ac:dyDescent="0.2">
      <c r="B36" s="41"/>
      <c r="D36" s="16"/>
      <c r="E36" s="16"/>
      <c r="F36" s="16"/>
      <c r="G36" s="16"/>
      <c r="H36" s="16"/>
      <c r="I36" s="16"/>
      <c r="J36" s="16"/>
      <c r="K36" s="16"/>
      <c r="L36" s="16"/>
      <c r="M36" s="16"/>
      <c r="N36" s="16"/>
      <c r="O36" s="16"/>
      <c r="P36" s="16"/>
      <c r="Q36" s="16"/>
      <c r="R36" s="16"/>
      <c r="S36" s="16"/>
      <c r="T36" s="16"/>
    </row>
    <row r="37" spans="2:20" ht="15.75" x14ac:dyDescent="0.25">
      <c r="B37" s="342" t="s">
        <v>111</v>
      </c>
      <c r="D37" s="85" t="s">
        <v>123</v>
      </c>
      <c r="E37" s="107">
        <f ca="1">IF(Dashboard!D15="","",INDEX(INDIRECT(INDEX(Calcs!$D:$D,MATCH(Dashboard!D15,Calcs!$A:$A,0))),8,7))</f>
        <v>0.02</v>
      </c>
      <c r="F37" s="16"/>
      <c r="G37" s="85" t="s">
        <v>117</v>
      </c>
      <c r="H37" s="108">
        <f ca="1">IF(Dashboard!D15="","",INDEX(INDIRECT(INDEX(Calcs!$D:$D,MATCH(Dashboard!D15,Calcs!$A:$A,0))),8,6))</f>
        <v>1.4999999999999999E-2</v>
      </c>
      <c r="I37" s="88" t="s">
        <v>118</v>
      </c>
      <c r="J37" s="107">
        <f ca="1">IF(Dashboard!D15="","",INDEX(INDIRECT(INDEX(Calcs!$D:$D,MATCH(Dashboard!D15,Calcs!$A:$A,0))),8,7))</f>
        <v>0.02</v>
      </c>
      <c r="K37" s="16"/>
      <c r="L37" s="85" t="s">
        <v>115</v>
      </c>
      <c r="M37" s="108">
        <f ca="1">IF(Dashboard!D15="","",INDEX(INDIRECT(INDEX(Calcs!$D:$D,MATCH(Dashboard!D15,Calcs!$A:$A,0))),8,6))</f>
        <v>1.4999999999999999E-2</v>
      </c>
      <c r="N37" s="88"/>
      <c r="O37" s="120"/>
      <c r="P37" s="16"/>
      <c r="Q37" s="85"/>
      <c r="R37" s="88"/>
      <c r="S37" s="88"/>
      <c r="T37" s="120"/>
    </row>
    <row r="38" spans="2:20" ht="15" customHeight="1" x14ac:dyDescent="0.2">
      <c r="B38" s="343"/>
      <c r="D38" s="97"/>
      <c r="E38" s="90"/>
      <c r="F38" s="16"/>
      <c r="G38" s="97"/>
      <c r="H38" s="91"/>
      <c r="I38" s="91"/>
      <c r="J38" s="90"/>
      <c r="K38" s="16"/>
      <c r="L38" s="97"/>
      <c r="M38" s="91"/>
      <c r="N38" s="91"/>
      <c r="O38" s="90"/>
      <c r="P38" s="16"/>
      <c r="Q38" s="97"/>
      <c r="R38" s="91"/>
      <c r="S38" s="91"/>
      <c r="T38" s="90"/>
    </row>
    <row r="39" spans="2:20" ht="5.25" customHeight="1" x14ac:dyDescent="0.2">
      <c r="B39" s="40"/>
    </row>
    <row r="40" spans="2:20" ht="15" customHeight="1" x14ac:dyDescent="0.2">
      <c r="B40" s="40"/>
    </row>
    <row r="41" spans="2:20" ht="15.75" x14ac:dyDescent="0.2">
      <c r="B41" s="56" t="s">
        <v>52</v>
      </c>
      <c r="C41" s="56"/>
      <c r="D41" s="57"/>
      <c r="E41" s="57"/>
      <c r="F41" s="56"/>
      <c r="G41" s="57"/>
      <c r="H41" s="57"/>
      <c r="I41" s="57"/>
      <c r="J41" s="57"/>
      <c r="K41" s="56"/>
      <c r="L41" s="57"/>
      <c r="M41" s="57"/>
      <c r="N41" s="57"/>
      <c r="O41" s="57"/>
      <c r="P41" s="56"/>
      <c r="Q41" s="57"/>
      <c r="R41" s="57"/>
      <c r="S41" s="57"/>
      <c r="T41" s="57"/>
    </row>
    <row r="42" spans="2:20" ht="5.65" customHeight="1" x14ac:dyDescent="0.2">
      <c r="D42" s="48"/>
      <c r="E42" s="48"/>
      <c r="G42" s="48"/>
      <c r="H42" s="48"/>
      <c r="I42" s="48"/>
      <c r="J42" s="48"/>
      <c r="L42" s="48"/>
      <c r="M42" s="48"/>
      <c r="N42" s="48"/>
      <c r="O42" s="48"/>
      <c r="Q42" s="48"/>
      <c r="R42" s="48"/>
      <c r="S42" s="48"/>
      <c r="T42" s="48"/>
    </row>
    <row r="43" spans="2:20" x14ac:dyDescent="0.2">
      <c r="D43" s="344" t="s">
        <v>114</v>
      </c>
      <c r="E43" s="345"/>
      <c r="G43" s="333" t="s">
        <v>116</v>
      </c>
      <c r="H43" s="334"/>
      <c r="I43" s="334"/>
      <c r="J43" s="335"/>
      <c r="L43" s="336" t="s">
        <v>121</v>
      </c>
      <c r="M43" s="337"/>
      <c r="N43" s="337"/>
      <c r="O43" s="338"/>
      <c r="Q43" s="339" t="s">
        <v>122</v>
      </c>
      <c r="R43" s="340"/>
      <c r="S43" s="340"/>
      <c r="T43" s="341"/>
    </row>
    <row r="44" spans="2:20" ht="5.65" customHeight="1" x14ac:dyDescent="0.2">
      <c r="D44" s="48"/>
      <c r="E44" s="48"/>
      <c r="G44" s="48"/>
      <c r="H44" s="48"/>
      <c r="I44" s="48"/>
      <c r="J44" s="48"/>
      <c r="L44" s="48"/>
      <c r="M44" s="48"/>
      <c r="N44" s="48"/>
      <c r="O44" s="48"/>
      <c r="Q44" s="48"/>
      <c r="R44" s="48"/>
      <c r="S44" s="48"/>
      <c r="T44" s="48"/>
    </row>
    <row r="45" spans="2:20" ht="15.75" x14ac:dyDescent="0.25">
      <c r="B45" s="342" t="s">
        <v>112</v>
      </c>
      <c r="D45" s="85" t="s">
        <v>115</v>
      </c>
      <c r="E45" s="107">
        <f>IF(Dashboard!D15="","",-0.05)</f>
        <v>-0.05</v>
      </c>
      <c r="F45" s="114"/>
      <c r="G45" s="175" t="s">
        <v>117</v>
      </c>
      <c r="H45" s="108">
        <f>IF(Dashboard!D15="","",-0.05)</f>
        <v>-0.05</v>
      </c>
      <c r="I45" s="176" t="s">
        <v>118</v>
      </c>
      <c r="J45" s="107">
        <f>IF(Dashboard!D15="","",0)</f>
        <v>0</v>
      </c>
      <c r="K45" s="114"/>
      <c r="L45" s="175" t="s">
        <v>164</v>
      </c>
      <c r="M45" s="121">
        <f>IF(Dashboard!D15="","",0)</f>
        <v>0</v>
      </c>
      <c r="N45" s="88"/>
      <c r="O45" s="120"/>
      <c r="P45" s="16"/>
      <c r="Q45" s="85"/>
      <c r="R45" s="88"/>
      <c r="S45" s="88"/>
      <c r="T45" s="120"/>
    </row>
    <row r="46" spans="2:20" x14ac:dyDescent="0.2">
      <c r="B46" s="343"/>
      <c r="D46" s="97"/>
      <c r="E46" s="177"/>
      <c r="F46" s="114"/>
      <c r="G46" s="178"/>
      <c r="H46" s="179"/>
      <c r="I46" s="179"/>
      <c r="J46" s="177"/>
      <c r="K46" s="114"/>
      <c r="L46" s="178"/>
      <c r="M46" s="180"/>
      <c r="N46" s="91"/>
      <c r="O46" s="90"/>
      <c r="P46" s="16"/>
      <c r="Q46" s="97"/>
      <c r="R46" s="91"/>
      <c r="S46" s="91"/>
      <c r="T46" s="90"/>
    </row>
    <row r="47" spans="2:20" ht="5.25" customHeight="1" x14ac:dyDescent="0.2">
      <c r="B47" s="41"/>
      <c r="D47" s="16"/>
      <c r="E47" s="114"/>
      <c r="F47" s="114"/>
      <c r="G47" s="114"/>
      <c r="H47" s="114"/>
      <c r="I47" s="114"/>
      <c r="J47" s="114"/>
      <c r="K47" s="114"/>
      <c r="L47" s="114"/>
      <c r="M47" s="181"/>
      <c r="N47" s="16"/>
      <c r="O47" s="16"/>
      <c r="P47" s="16"/>
      <c r="Q47" s="16"/>
      <c r="R47" s="16"/>
      <c r="S47" s="16"/>
      <c r="T47" s="16"/>
    </row>
    <row r="48" spans="2:20" ht="15.75" x14ac:dyDescent="0.25">
      <c r="B48" s="342" t="s">
        <v>113</v>
      </c>
      <c r="D48" s="85" t="s">
        <v>115</v>
      </c>
      <c r="E48" s="107">
        <f>IF(Dashboard!D15="","",-0.05)</f>
        <v>-0.05</v>
      </c>
      <c r="F48" s="114"/>
      <c r="G48" s="175" t="s">
        <v>117</v>
      </c>
      <c r="H48" s="108">
        <f>IF(Dashboard!D15="","",-0.05)</f>
        <v>-0.05</v>
      </c>
      <c r="I48" s="176" t="s">
        <v>118</v>
      </c>
      <c r="J48" s="107">
        <f>IF(Dashboard!D15="","",0)</f>
        <v>0</v>
      </c>
      <c r="K48" s="114"/>
      <c r="L48" s="175" t="s">
        <v>164</v>
      </c>
      <c r="M48" s="121">
        <f>IF(Dashboard!D15="","",0)</f>
        <v>0</v>
      </c>
      <c r="N48" s="88"/>
      <c r="O48" s="120"/>
      <c r="P48" s="16"/>
      <c r="Q48" s="85"/>
      <c r="R48" s="88"/>
      <c r="S48" s="88"/>
      <c r="T48" s="120"/>
    </row>
    <row r="49" spans="2:20" x14ac:dyDescent="0.2">
      <c r="B49" s="343"/>
      <c r="D49" s="97"/>
      <c r="E49" s="90"/>
      <c r="F49" s="16"/>
      <c r="G49" s="97"/>
      <c r="H49" s="91"/>
      <c r="I49" s="91"/>
      <c r="J49" s="90"/>
      <c r="K49" s="16"/>
      <c r="L49" s="97"/>
      <c r="M49" s="91"/>
      <c r="N49" s="91"/>
      <c r="O49" s="90"/>
      <c r="P49" s="16"/>
      <c r="Q49" s="97"/>
      <c r="R49" s="91"/>
      <c r="S49" s="91"/>
      <c r="T49" s="90"/>
    </row>
    <row r="50" spans="2:20" ht="5.25" customHeight="1" x14ac:dyDescent="0.2">
      <c r="B50" s="40"/>
    </row>
    <row r="51" spans="2:20" ht="15" customHeight="1" x14ac:dyDescent="0.2">
      <c r="B51" s="40"/>
    </row>
    <row r="52" spans="2:20" ht="15.75" x14ac:dyDescent="0.2">
      <c r="B52" s="56" t="s">
        <v>53</v>
      </c>
      <c r="C52" s="56"/>
      <c r="D52" s="57"/>
      <c r="E52" s="57"/>
      <c r="F52" s="56"/>
      <c r="G52" s="57"/>
      <c r="H52" s="57"/>
      <c r="I52" s="57"/>
      <c r="J52" s="57"/>
      <c r="K52" s="56"/>
      <c r="L52" s="57"/>
      <c r="M52" s="57"/>
      <c r="N52" s="57"/>
      <c r="O52" s="57"/>
      <c r="P52" s="56"/>
      <c r="Q52" s="57"/>
      <c r="R52" s="57"/>
      <c r="S52" s="57"/>
      <c r="T52" s="57"/>
    </row>
    <row r="53" spans="2:20" ht="5.65" customHeight="1" x14ac:dyDescent="0.2">
      <c r="D53" s="48"/>
      <c r="E53" s="48"/>
      <c r="G53" s="48"/>
      <c r="H53" s="48"/>
      <c r="I53" s="48"/>
      <c r="J53" s="48"/>
      <c r="L53" s="48"/>
      <c r="M53" s="48"/>
      <c r="N53" s="48"/>
      <c r="O53" s="48"/>
      <c r="Q53" s="48"/>
      <c r="R53" s="48"/>
      <c r="S53" s="48"/>
      <c r="T53" s="48"/>
    </row>
    <row r="54" spans="2:20" x14ac:dyDescent="0.2">
      <c r="D54" s="344" t="s">
        <v>114</v>
      </c>
      <c r="E54" s="345"/>
      <c r="G54" s="333" t="s">
        <v>116</v>
      </c>
      <c r="H54" s="334"/>
      <c r="I54" s="334"/>
      <c r="J54" s="335"/>
      <c r="L54" s="336" t="s">
        <v>121</v>
      </c>
      <c r="M54" s="337"/>
      <c r="N54" s="337"/>
      <c r="O54" s="338"/>
      <c r="Q54" s="339" t="s">
        <v>122</v>
      </c>
      <c r="R54" s="340"/>
      <c r="S54" s="340"/>
      <c r="T54" s="341"/>
    </row>
    <row r="55" spans="2:20" ht="5.65" customHeight="1" x14ac:dyDescent="0.2">
      <c r="D55" s="48"/>
      <c r="E55" s="48"/>
      <c r="G55" s="48"/>
      <c r="H55" s="48"/>
      <c r="I55" s="48"/>
      <c r="J55" s="48"/>
      <c r="L55" s="48"/>
      <c r="M55" s="48"/>
      <c r="N55" s="48"/>
      <c r="O55" s="48"/>
      <c r="Q55" s="48"/>
      <c r="R55" s="48"/>
      <c r="S55" s="48"/>
      <c r="T55" s="48"/>
    </row>
    <row r="56" spans="2:20" ht="15.75" x14ac:dyDescent="0.25">
      <c r="B56" s="342" t="s">
        <v>33</v>
      </c>
      <c r="D56" s="85" t="s">
        <v>115</v>
      </c>
      <c r="E56" s="103">
        <f ca="1">IF(Dashboard!D15="","",INDEX(INDIRECT(INDEX(Calcs!$D:$D,MATCH(Dashboard!D15,Calcs!$A:$A,0))),13,1))</f>
        <v>44000</v>
      </c>
      <c r="F56" s="16"/>
      <c r="G56" s="85" t="s">
        <v>117</v>
      </c>
      <c r="H56" s="104">
        <f ca="1">IF(Dashboard!D15="","",INDEX(INDIRECT(INDEX(Calcs!$D:$D,MATCH(Dashboard!D15,Calcs!$A:$A,0))),13,1))</f>
        <v>44000</v>
      </c>
      <c r="I56" s="88" t="s">
        <v>118</v>
      </c>
      <c r="J56" s="103">
        <f ca="1">IF(Dashboard!D15="","",INDEX(INDIRECT(INDEX(Calcs!$D:$D,MATCH(Dashboard!D15,Calcs!$A:$A,0))),13,2))</f>
        <v>47000</v>
      </c>
      <c r="K56" s="16"/>
      <c r="L56" s="85" t="s">
        <v>117</v>
      </c>
      <c r="M56" s="104">
        <f ca="1">IF(Dashboard!D15="","",INDEX(INDIRECT(INDEX(Calcs!$D:$D,MATCH(Dashboard!D15,Calcs!$A:$A,0))),13,2))</f>
        <v>47000</v>
      </c>
      <c r="N56" s="88" t="s">
        <v>118</v>
      </c>
      <c r="O56" s="103">
        <f ca="1">IF(Dashboard!D15="","",INDEX(INDIRECT(INDEX(Calcs!$D:$D,MATCH(Dashboard!D15,Calcs!$A:$A,0))),13,3))</f>
        <v>50000</v>
      </c>
      <c r="P56" s="16"/>
      <c r="Q56" s="85" t="s">
        <v>117</v>
      </c>
      <c r="R56" s="104">
        <f ca="1">IF(Dashboard!D15="","",INDEX(INDIRECT(INDEX(Calcs!$D:$D,MATCH(Dashboard!D15,Calcs!$A:$A,0))),13,3))</f>
        <v>50000</v>
      </c>
      <c r="S56" s="88" t="s">
        <v>118</v>
      </c>
      <c r="T56" s="103">
        <f ca="1">IF(Dashboard!D15="","",INDEX(INDIRECT(INDEX(Calcs!$D:$D,MATCH(Dashboard!D15,Calcs!$A:$A,0))),13,5))</f>
        <v>53000</v>
      </c>
    </row>
    <row r="57" spans="2:20" ht="15.75" x14ac:dyDescent="0.25">
      <c r="B57" s="343"/>
      <c r="D57" s="97" t="s">
        <v>120</v>
      </c>
      <c r="E57" s="105">
        <f ca="1">IF(Dashboard!D15="","",INDEX(INDIRECT(INDEX(Calcs!$D:$D,MATCH(Dashboard!D15,Calcs!$A:$A,0))),13,7))</f>
        <v>60000</v>
      </c>
      <c r="F57" s="16"/>
      <c r="G57" s="97" t="s">
        <v>119</v>
      </c>
      <c r="H57" s="106">
        <f ca="1">IF(Dashboard!D15="","",INDEX(INDIRECT(INDEX(Calcs!$D:$D,MATCH(Dashboard!D15,Calcs!$A:$A,0))),13,6))</f>
        <v>56500</v>
      </c>
      <c r="I57" s="91" t="s">
        <v>118</v>
      </c>
      <c r="J57" s="105">
        <f ca="1">IF(Dashboard!D15="","",INDEX(INDIRECT(INDEX(Calcs!$D:$D,MATCH(Dashboard!D15,Calcs!$A:$A,0))),13,7))</f>
        <v>60000</v>
      </c>
      <c r="K57" s="16"/>
      <c r="L57" s="97" t="s">
        <v>119</v>
      </c>
      <c r="M57" s="106">
        <f ca="1">IF(Dashboard!D15="","",INDEX(INDIRECT(INDEX(Calcs!$D:$D,MATCH(Dashboard!D15,Calcs!$A:$A,0))),13,5))</f>
        <v>53000</v>
      </c>
      <c r="N57" s="91" t="s">
        <v>118</v>
      </c>
      <c r="O57" s="105">
        <f ca="1">IF(Dashboard!D15="","",INDEX(INDIRECT(INDEX(Calcs!$D:$D,MATCH(Dashboard!D15,Calcs!$A:$A,0))),13,6))</f>
        <v>56500</v>
      </c>
      <c r="P57" s="16"/>
      <c r="Q57" s="97"/>
      <c r="R57" s="91"/>
      <c r="S57" s="91"/>
      <c r="T57" s="90"/>
    </row>
    <row r="58" spans="2:20" ht="5.25" customHeight="1" x14ac:dyDescent="0.2">
      <c r="B58" s="41"/>
      <c r="D58" s="16"/>
      <c r="E58" s="16"/>
      <c r="F58" s="16"/>
      <c r="G58" s="16"/>
      <c r="H58" s="16"/>
      <c r="I58" s="16"/>
      <c r="J58" s="16"/>
      <c r="K58" s="16"/>
      <c r="L58" s="16"/>
      <c r="M58" s="16"/>
      <c r="N58" s="16"/>
      <c r="O58" s="16"/>
      <c r="P58" s="16"/>
      <c r="Q58" s="16"/>
      <c r="R58" s="16"/>
      <c r="S58" s="16"/>
      <c r="T58" s="16"/>
    </row>
    <row r="59" spans="2:20" ht="15.75" x14ac:dyDescent="0.25">
      <c r="B59" s="342" t="s">
        <v>34</v>
      </c>
      <c r="D59" s="85" t="s">
        <v>123</v>
      </c>
      <c r="E59" s="107">
        <f ca="1">IF(Dashboard!D15="","",INDEX(INDIRECT(INDEX(Calcs!$D:$D,MATCH(Dashboard!D15,Calcs!$A:$A,0))),9,7))</f>
        <v>0.1</v>
      </c>
      <c r="F59" s="16"/>
      <c r="G59" s="85" t="s">
        <v>117</v>
      </c>
      <c r="H59" s="108">
        <f ca="1">IF(Dashboard!D15="","",INDEX(INDIRECT(INDEX(Calcs!$D:$D,MATCH(Dashboard!D15,Calcs!$A:$A,0))),9,6))</f>
        <v>0.09</v>
      </c>
      <c r="I59" s="88" t="s">
        <v>118</v>
      </c>
      <c r="J59" s="107">
        <f ca="1">IF(Dashboard!D15="","",INDEX(INDIRECT(INDEX(Calcs!$D:$D,MATCH(Dashboard!D15,Calcs!$A:$A,0))),9,7))</f>
        <v>0.1</v>
      </c>
      <c r="K59" s="16"/>
      <c r="L59" s="85" t="s">
        <v>117</v>
      </c>
      <c r="M59" s="108">
        <f ca="1">IF(Dashboard!D15="","",INDEX(INDIRECT(INDEX(Calcs!$D:$D,MATCH(Dashboard!D15,Calcs!$A:$A,0))),9,5))</f>
        <v>7.4999999999999997E-2</v>
      </c>
      <c r="N59" s="88" t="s">
        <v>118</v>
      </c>
      <c r="O59" s="107">
        <f ca="1">IF(Dashboard!D15="","",INDEX(INDIRECT(INDEX(Calcs!$D:$D,MATCH(Dashboard!D15,Calcs!$A:$A,0))),9,6))</f>
        <v>0.09</v>
      </c>
      <c r="P59" s="16"/>
      <c r="Q59" s="85" t="s">
        <v>117</v>
      </c>
      <c r="R59" s="108">
        <f ca="1">IF(Dashboard!D15="","",INDEX(INDIRECT(INDEX(Calcs!$D:$D,MATCH(Dashboard!D15,Calcs!$A:$A,0))),9,3))</f>
        <v>0.06</v>
      </c>
      <c r="S59" s="88" t="s">
        <v>118</v>
      </c>
      <c r="T59" s="107">
        <f ca="1">IF(Dashboard!D15="","",INDEX(INDIRECT(INDEX(Calcs!$D:$D,MATCH(Dashboard!D15,Calcs!$A:$A,0))),9,5))</f>
        <v>7.4999999999999997E-2</v>
      </c>
    </row>
    <row r="60" spans="2:20" ht="15.75" x14ac:dyDescent="0.25">
      <c r="B60" s="343"/>
      <c r="D60" s="97"/>
      <c r="E60" s="90"/>
      <c r="F60" s="16"/>
      <c r="G60" s="97"/>
      <c r="H60" s="91"/>
      <c r="I60" s="91"/>
      <c r="J60" s="90"/>
      <c r="K60" s="16"/>
      <c r="L60" s="97" t="s">
        <v>124</v>
      </c>
      <c r="M60" s="109">
        <f ca="1">IF(Dashboard!D15="","",INDEX(INDIRECT(INDEX(Calcs!$D:$D,MATCH(Dashboard!D15,Calcs!$A:$A,0))),9,3))</f>
        <v>0.06</v>
      </c>
      <c r="N60" s="91"/>
      <c r="O60" s="90"/>
      <c r="P60" s="16"/>
      <c r="Q60" s="97"/>
      <c r="R60" s="91"/>
      <c r="S60" s="91"/>
      <c r="T60" s="90"/>
    </row>
    <row r="61" spans="2:20" ht="5.25" customHeight="1" x14ac:dyDescent="0.2">
      <c r="B61" s="41"/>
      <c r="D61" s="16"/>
      <c r="E61" s="16"/>
      <c r="F61" s="16"/>
      <c r="G61" s="16"/>
      <c r="H61" s="16"/>
      <c r="I61" s="16"/>
      <c r="J61" s="16"/>
      <c r="K61" s="16"/>
      <c r="L61" s="16"/>
      <c r="M61" s="16"/>
      <c r="N61" s="16"/>
      <c r="O61" s="16"/>
      <c r="P61" s="16"/>
      <c r="Q61" s="16"/>
      <c r="R61" s="16"/>
      <c r="S61" s="16"/>
      <c r="T61" s="16"/>
    </row>
    <row r="62" spans="2:20" ht="15.75" x14ac:dyDescent="0.25">
      <c r="B62" s="342" t="s">
        <v>4</v>
      </c>
      <c r="D62" s="85" t="s">
        <v>115</v>
      </c>
      <c r="E62" s="110">
        <f ca="1">IF(Dashboard!D15="","",INDEX(INDIRECT(INDEX(Calcs!$D:$D,MATCH(Dashboard!D15,Calcs!$A:$A,0))),10,1))</f>
        <v>20.5</v>
      </c>
      <c r="F62" s="16"/>
      <c r="G62" s="85" t="s">
        <v>117</v>
      </c>
      <c r="H62" s="111">
        <f ca="1">IF(Dashboard!D15="","",INDEX(INDIRECT(INDEX(Calcs!$D:$D,MATCH(Dashboard!D15,Calcs!$A:$A,0))),10,1))</f>
        <v>20.5</v>
      </c>
      <c r="I62" s="88" t="s">
        <v>118</v>
      </c>
      <c r="J62" s="110">
        <f ca="1">IF(Dashboard!D15="","",INDEX(INDIRECT(INDEX(Calcs!$D:$D,MATCH(Dashboard!D15,Calcs!$A:$A,0))),10,2))</f>
        <v>21.5</v>
      </c>
      <c r="K62" s="16"/>
      <c r="L62" s="85" t="s">
        <v>117</v>
      </c>
      <c r="M62" s="111">
        <f ca="1">IF(Dashboard!D15="","",INDEX(INDIRECT(INDEX(Calcs!$D:$D,MATCH(Dashboard!D15,Calcs!$A:$A,0))),10,2))</f>
        <v>21.5</v>
      </c>
      <c r="N62" s="88" t="s">
        <v>118</v>
      </c>
      <c r="O62" s="110">
        <f ca="1">IF(Dashboard!D15="","",INDEX(INDIRECT(INDEX(Calcs!$D:$D,MATCH(Dashboard!D15,Calcs!$A:$A,0))),10,3))</f>
        <v>22.5</v>
      </c>
      <c r="P62" s="16"/>
      <c r="Q62" s="85" t="s">
        <v>117</v>
      </c>
      <c r="R62" s="111">
        <f ca="1">IF(Dashboard!D15="","",INDEX(INDIRECT(INDEX(Calcs!$D:$D,MATCH(Dashboard!D15,Calcs!$A:$A,0))),10,3))</f>
        <v>22.5</v>
      </c>
      <c r="S62" s="88" t="s">
        <v>118</v>
      </c>
      <c r="T62" s="110">
        <f ca="1">IF(Dashboard!D15="","",INDEX(INDIRECT(INDEX(Calcs!$D:$D,MATCH(Dashboard!D15,Calcs!$A:$A,0))),10,5))</f>
        <v>24</v>
      </c>
    </row>
    <row r="63" spans="2:20" ht="15.75" x14ac:dyDescent="0.25">
      <c r="B63" s="343"/>
      <c r="D63" s="97" t="s">
        <v>120</v>
      </c>
      <c r="E63" s="112">
        <f ca="1">IF(Dashboard!D15="","",INDEX(INDIRECT(INDEX(Calcs!$D:$D,MATCH(Dashboard!D15,Calcs!$A:$A,0))),10,7))</f>
        <v>26.5</v>
      </c>
      <c r="F63" s="16"/>
      <c r="G63" s="97" t="s">
        <v>119</v>
      </c>
      <c r="H63" s="113">
        <f ca="1">IF(Dashboard!D15="","",INDEX(INDIRECT(INDEX(Calcs!$D:$D,MATCH(Dashboard!D15,Calcs!$A:$A,0))),10,6))</f>
        <v>25</v>
      </c>
      <c r="I63" s="91" t="s">
        <v>118</v>
      </c>
      <c r="J63" s="112">
        <f ca="1">IF(Dashboard!D15="","",INDEX(INDIRECT(INDEX(Calcs!$D:$D,MATCH(Dashboard!D15,Calcs!$A:$A,0))),10,7))</f>
        <v>26.5</v>
      </c>
      <c r="K63" s="16"/>
      <c r="L63" s="97" t="s">
        <v>119</v>
      </c>
      <c r="M63" s="113">
        <f ca="1">IF(Dashboard!D15="","",INDEX(INDIRECT(INDEX(Calcs!$D:$D,MATCH(Dashboard!D15,Calcs!$A:$A,0))),10,5))</f>
        <v>24</v>
      </c>
      <c r="N63" s="91" t="s">
        <v>118</v>
      </c>
      <c r="O63" s="112">
        <f ca="1">IF(Dashboard!D15="","",INDEX(INDIRECT(INDEX(Calcs!$D:$D,MATCH(Dashboard!D15,Calcs!$A:$A,0))),10,6))</f>
        <v>25</v>
      </c>
      <c r="P63" s="16"/>
      <c r="Q63" s="97"/>
      <c r="R63" s="91"/>
      <c r="S63" s="91"/>
      <c r="T63" s="90"/>
    </row>
    <row r="64" spans="2:20" ht="5.25" customHeight="1" x14ac:dyDescent="0.2">
      <c r="B64" s="41"/>
      <c r="D64" s="16"/>
      <c r="E64" s="114"/>
      <c r="F64" s="16"/>
      <c r="G64" s="16"/>
      <c r="H64" s="16"/>
      <c r="I64" s="16"/>
      <c r="J64" s="16"/>
      <c r="K64" s="16"/>
      <c r="L64" s="16"/>
      <c r="M64" s="16"/>
      <c r="N64" s="16"/>
      <c r="O64" s="16"/>
      <c r="P64" s="16"/>
      <c r="Q64" s="16"/>
      <c r="R64" s="16"/>
      <c r="S64" s="16"/>
      <c r="T64" s="16"/>
    </row>
    <row r="65" spans="2:20" ht="15.75" x14ac:dyDescent="0.25">
      <c r="B65" s="342" t="s">
        <v>14</v>
      </c>
      <c r="D65" s="85" t="s">
        <v>115</v>
      </c>
      <c r="E65" s="110">
        <f ca="1">IF(Dashboard!D15="","",INDEX(INDIRECT(INDEX(Calcs!$D:$D,MATCH(Dashboard!D15,Calcs!$A:$A,0))),11,1))</f>
        <v>9.5</v>
      </c>
      <c r="F65" s="16"/>
      <c r="G65" s="85" t="s">
        <v>117</v>
      </c>
      <c r="H65" s="111">
        <f ca="1">IF(Dashboard!D15="","",INDEX(INDIRECT(INDEX(Calcs!$D:$D,MATCH(Dashboard!D15,Calcs!$A:$A,0))),11,1))</f>
        <v>9.5</v>
      </c>
      <c r="I65" s="88" t="s">
        <v>118</v>
      </c>
      <c r="J65" s="110">
        <f ca="1">IF(Dashboard!D15="","",INDEX(INDIRECT(INDEX(Calcs!$D:$D,MATCH(Dashboard!D15,Calcs!$A:$A,0))),11,2))</f>
        <v>10</v>
      </c>
      <c r="K65" s="16"/>
      <c r="L65" s="85" t="s">
        <v>117</v>
      </c>
      <c r="M65" s="111">
        <f ca="1">IF(Dashboard!D15="","",INDEX(INDIRECT(INDEX(Calcs!$D:$D,MATCH(Dashboard!D15,Calcs!$A:$A,0))),11,2))</f>
        <v>10</v>
      </c>
      <c r="N65" s="88" t="s">
        <v>118</v>
      </c>
      <c r="O65" s="110">
        <f ca="1">IF(Dashboard!D15="","",INDEX(INDIRECT(INDEX(Calcs!$D:$D,MATCH(Dashboard!D15,Calcs!$A:$A,0))),11,3))</f>
        <v>11</v>
      </c>
      <c r="P65" s="16"/>
      <c r="Q65" s="85" t="s">
        <v>117</v>
      </c>
      <c r="R65" s="111">
        <f ca="1">IF(Dashboard!D15="","",INDEX(INDIRECT(INDEX(Calcs!$D:$D,MATCH(Dashboard!D15,Calcs!$A:$A,0))),11,3))</f>
        <v>11</v>
      </c>
      <c r="S65" s="88" t="s">
        <v>118</v>
      </c>
      <c r="T65" s="110">
        <f ca="1">IF(Dashboard!D15="","",INDEX(INDIRECT(INDEX(Calcs!$D:$D,MATCH(Dashboard!D15,Calcs!$A:$A,0))),11,5))</f>
        <v>11.5</v>
      </c>
    </row>
    <row r="66" spans="2:20" ht="15.75" x14ac:dyDescent="0.25">
      <c r="B66" s="343"/>
      <c r="D66" s="97" t="s">
        <v>120</v>
      </c>
      <c r="E66" s="112">
        <f ca="1">IF(Dashboard!D15="","",INDEX(INDIRECT(INDEX(Calcs!$D:$D,MATCH(Dashboard!D15,Calcs!$A:$A,0))),11,7))</f>
        <v>13</v>
      </c>
      <c r="F66" s="16"/>
      <c r="G66" s="97" t="s">
        <v>119</v>
      </c>
      <c r="H66" s="113">
        <f ca="1">IF(Dashboard!D15="","",INDEX(INDIRECT(INDEX(Calcs!$D:$D,MATCH(Dashboard!D15,Calcs!$A:$A,0))),11,6))</f>
        <v>12.5</v>
      </c>
      <c r="I66" s="91" t="s">
        <v>118</v>
      </c>
      <c r="J66" s="112">
        <f ca="1">IF(Dashboard!D15="","",INDEX(INDIRECT(INDEX(Calcs!$D:$D,MATCH(Dashboard!D15,Calcs!$A:$A,0))),11,7))</f>
        <v>13</v>
      </c>
      <c r="K66" s="16"/>
      <c r="L66" s="97" t="s">
        <v>119</v>
      </c>
      <c r="M66" s="113">
        <f ca="1">IF(Dashboard!D15="","",INDEX(INDIRECT(INDEX(Calcs!$D:$D,MATCH(Dashboard!D15,Calcs!$A:$A,0))),11,5))</f>
        <v>11.5</v>
      </c>
      <c r="N66" s="91" t="s">
        <v>118</v>
      </c>
      <c r="O66" s="112">
        <f ca="1">IF(Dashboard!D15="","",INDEX(INDIRECT(INDEX(Calcs!$D:$D,MATCH(Dashboard!D15,Calcs!$A:$A,0))),11,6))</f>
        <v>12.5</v>
      </c>
      <c r="P66" s="16"/>
      <c r="Q66" s="97"/>
      <c r="R66" s="91"/>
      <c r="S66" s="91"/>
      <c r="T66" s="90"/>
    </row>
    <row r="67" spans="2:20" ht="5.25" customHeight="1" x14ac:dyDescent="0.2">
      <c r="B67" s="41"/>
      <c r="D67" s="16"/>
      <c r="E67" s="114"/>
      <c r="F67" s="16"/>
      <c r="G67" s="16"/>
      <c r="H67" s="16"/>
      <c r="I67" s="16"/>
      <c r="J67" s="16"/>
      <c r="K67" s="16"/>
      <c r="L67" s="16"/>
      <c r="M67" s="16"/>
      <c r="N67" s="16"/>
      <c r="O67" s="16"/>
      <c r="P67" s="16"/>
      <c r="Q67" s="16"/>
      <c r="R67" s="16"/>
      <c r="S67" s="16"/>
      <c r="T67" s="16"/>
    </row>
    <row r="68" spans="2:20" ht="15.75" x14ac:dyDescent="0.25">
      <c r="B68" s="342" t="str">
        <f>IF(OR($B$3="- an alternative provision school",$B$3="- a special school",$B$3="- a nursery school"),"","Teacher contact ratio (less than 1.0)")</f>
        <v>Teacher contact ratio (less than 1.0)</v>
      </c>
      <c r="D68" s="85" t="str">
        <f>IF(B68="","","Less than or equal to")</f>
        <v>Less than or equal to</v>
      </c>
      <c r="E68" s="115">
        <f>IF(OR($B$3="- an alternative provision school",$B$3="- a special school",$B$3="- a nursery school",Dashboard!D15=""),"",0.7)</f>
        <v>0.7</v>
      </c>
      <c r="F68" s="98"/>
      <c r="G68" s="93" t="str">
        <f>IF(B68="","","Between")</f>
        <v>Between</v>
      </c>
      <c r="H68" s="116">
        <f>IF(OR($B$3="- an alternative provision school",$B$3="- a special school",$B$3="- a nursery school",Dashboard!D15=""),"",0.7)</f>
        <v>0.7</v>
      </c>
      <c r="I68" s="95" t="str">
        <f>IF(B68="","","and")</f>
        <v>and</v>
      </c>
      <c r="J68" s="115">
        <f>IF(OR($B$3="- an alternative provision school",$B$3="- a special school",$B$3="- a nursery school",Dashboard!D15=""),"",0.74)</f>
        <v>0.74</v>
      </c>
      <c r="K68" s="98"/>
      <c r="L68" s="93" t="str">
        <f>IF(B68="","","Between")</f>
        <v>Between</v>
      </c>
      <c r="M68" s="116">
        <f>IF(OR($B$3="- an alternative provision school",$B$3="- a special school",$B$3="- a nursery school",Dashboard!D15=""),"",0.4)</f>
        <v>0.4</v>
      </c>
      <c r="N68" s="95" t="str">
        <f>IF(G68="","","and")</f>
        <v>and</v>
      </c>
      <c r="O68" s="115">
        <f>IF(OR($B$3="- an alternative provision school",$B$3="- a special school",$B$3="- a nursery school",Dashboard!D15=""),"",0.8)</f>
        <v>0.8</v>
      </c>
      <c r="P68" s="16"/>
      <c r="Q68" s="85"/>
      <c r="R68" s="125"/>
      <c r="S68" s="88"/>
      <c r="T68" s="126"/>
    </row>
    <row r="69" spans="2:20" ht="15.75" x14ac:dyDescent="0.25">
      <c r="B69" s="343"/>
      <c r="D69" s="97" t="str">
        <f>IF(B68="","","Or more than")</f>
        <v>Or more than</v>
      </c>
      <c r="E69" s="117">
        <f>IF(OR($B$3="- an alternative provision school",$B$3="- a special school",$B$3="- a nursery school",Dashboard!D15=""),"",0.82)</f>
        <v>0.82</v>
      </c>
      <c r="F69" s="98"/>
      <c r="G69" s="100" t="str">
        <f>IF(B68="","","Or between")</f>
        <v>Or between</v>
      </c>
      <c r="H69" s="118">
        <f>IF(OR($B$3="- an alternative provision school",$B$3="- a special school",$B$3="- a nursery school",Dashboard!D15=""),"",0.8)</f>
        <v>0.8</v>
      </c>
      <c r="I69" s="101" t="str">
        <f>IF(B69="","","and")</f>
        <v/>
      </c>
      <c r="J69" s="117">
        <f>IF(OR($B$3="- an alternative provision school",$B$3="- a special school",$B$3="- a nursery school",Dashboard!D15=""),"",0.82)</f>
        <v>0.82</v>
      </c>
      <c r="K69" s="98"/>
      <c r="L69" s="100"/>
      <c r="M69" s="102"/>
      <c r="N69" s="101"/>
      <c r="O69" s="119"/>
      <c r="P69" s="16"/>
      <c r="Q69" s="97"/>
      <c r="R69" s="91"/>
      <c r="S69" s="91"/>
      <c r="T69" s="90"/>
    </row>
    <row r="70" spans="2:20" ht="5.25" customHeight="1" x14ac:dyDescent="0.2">
      <c r="B70" s="41"/>
      <c r="D70" s="16"/>
      <c r="E70" s="16"/>
      <c r="F70" s="16"/>
      <c r="G70" s="16"/>
      <c r="H70" s="16"/>
      <c r="I70" s="16"/>
      <c r="J70" s="16"/>
      <c r="K70" s="16"/>
      <c r="L70" s="16"/>
      <c r="M70" s="16"/>
      <c r="N70" s="16"/>
      <c r="O70" s="16"/>
      <c r="P70" s="16"/>
      <c r="Q70" s="16"/>
      <c r="R70" s="16"/>
      <c r="S70" s="16"/>
      <c r="T70" s="16"/>
    </row>
    <row r="71" spans="2:20" ht="15.75" x14ac:dyDescent="0.25">
      <c r="B71" s="342" t="s">
        <v>36</v>
      </c>
      <c r="D71" s="85" t="s">
        <v>115</v>
      </c>
      <c r="E71" s="107">
        <f>IF(Dashboard!D15="","",-0.1)</f>
        <v>-0.1</v>
      </c>
      <c r="F71" s="16"/>
      <c r="G71" s="85" t="s">
        <v>117</v>
      </c>
      <c r="H71" s="108">
        <f>IF(Dashboard!D15="","",-0.1)</f>
        <v>-0.1</v>
      </c>
      <c r="I71" s="88" t="s">
        <v>118</v>
      </c>
      <c r="J71" s="107">
        <f>IF(Dashboard!D15="","",-0.02)</f>
        <v>-0.02</v>
      </c>
      <c r="K71" s="16"/>
      <c r="L71" s="85" t="s">
        <v>123</v>
      </c>
      <c r="M71" s="108">
        <f>IF(Dashboard!D15="","",-0.02)</f>
        <v>-0.02</v>
      </c>
      <c r="N71" s="88"/>
      <c r="O71" s="120"/>
      <c r="P71" s="16"/>
      <c r="Q71" s="85"/>
      <c r="R71" s="88"/>
      <c r="S71" s="88"/>
      <c r="T71" s="120"/>
    </row>
    <row r="72" spans="2:20" x14ac:dyDescent="0.2">
      <c r="B72" s="343"/>
      <c r="D72" s="97"/>
      <c r="E72" s="90"/>
      <c r="F72" s="16"/>
      <c r="G72" s="97"/>
      <c r="H72" s="91"/>
      <c r="I72" s="91"/>
      <c r="J72" s="90"/>
      <c r="K72" s="16"/>
      <c r="L72" s="97"/>
      <c r="M72" s="91"/>
      <c r="N72" s="91"/>
      <c r="O72" s="90"/>
      <c r="P72" s="16"/>
      <c r="Q72" s="97"/>
      <c r="R72" s="91"/>
      <c r="S72" s="91"/>
      <c r="T72" s="90"/>
    </row>
    <row r="73" spans="2:20" ht="5.25" customHeight="1" x14ac:dyDescent="0.2">
      <c r="B73" s="41"/>
      <c r="D73" s="16"/>
      <c r="E73" s="16"/>
      <c r="F73" s="16"/>
      <c r="G73" s="16"/>
      <c r="H73" s="16"/>
      <c r="I73" s="16"/>
      <c r="J73" s="16"/>
      <c r="K73" s="16"/>
      <c r="L73" s="16"/>
      <c r="M73" s="16"/>
      <c r="N73" s="16"/>
      <c r="O73" s="16"/>
      <c r="P73" s="16"/>
      <c r="Q73" s="16"/>
      <c r="R73" s="16"/>
      <c r="S73" s="16"/>
      <c r="T73" s="16"/>
    </row>
    <row r="74" spans="2:20" ht="15.75" x14ac:dyDescent="0.25">
      <c r="B74" s="342" t="str">
        <f>IF(OR($B$3="- an alternative provision school",$B$3="- a special school",$B$3="- a nursery school"),"","Average class size")</f>
        <v>Average class size</v>
      </c>
      <c r="D74" s="85" t="str">
        <f>IF(B74="","","Less than or equal to")</f>
        <v>Less than or equal to</v>
      </c>
      <c r="E74" s="110">
        <f ca="1">IF(Dashboard!D15="","",INDEX(INDIRECT(INDEX(Calcs!$D:$D,MATCH(Dashboard!D15,Calcs!$A:$A,0))),12,1))</f>
        <v>28</v>
      </c>
      <c r="F74" s="16"/>
      <c r="G74" s="85" t="str">
        <f>IF(B74="","","Between")</f>
        <v>Between</v>
      </c>
      <c r="H74" s="111">
        <f ca="1">IF(Dashboard!D15="","",INDEX(INDIRECT(INDEX(Calcs!$D:$D,MATCH(Dashboard!D15,Calcs!$A:$A,0))),12,1))</f>
        <v>28</v>
      </c>
      <c r="I74" s="88" t="str">
        <f>IF(B74="","","and")</f>
        <v>and</v>
      </c>
      <c r="J74" s="110">
        <f ca="1">IF(Dashboard!D15="","",INDEX(INDIRECT(INDEX(Calcs!$D:$D,MATCH(Dashboard!D15,Calcs!$A:$A,0))),12,2))</f>
        <v>28.5</v>
      </c>
      <c r="K74" s="16"/>
      <c r="L74" s="85" t="str">
        <f>IF(B74="","","Between")</f>
        <v>Between</v>
      </c>
      <c r="M74" s="111">
        <f ca="1">IF(Dashboard!D15="","",INDEX(INDIRECT(INDEX(Calcs!$D:$D,MATCH(Dashboard!D15,Calcs!$A:$A,0))),12,2))</f>
        <v>28.5</v>
      </c>
      <c r="N74" s="88" t="str">
        <f>IF(B74="","","and")</f>
        <v>and</v>
      </c>
      <c r="O74" s="110">
        <f ca="1">IF(Dashboard!D15="","",INDEX(INDIRECT(INDEX(Calcs!$D:$D,MATCH(Dashboard!D15,Calcs!$A:$A,0))),12,3))</f>
        <v>29</v>
      </c>
      <c r="P74" s="16"/>
      <c r="Q74" s="85" t="str">
        <f>IF(B74="","","Between")</f>
        <v>Between</v>
      </c>
      <c r="R74" s="111">
        <f ca="1">IF(Dashboard!D15="","",INDEX(INDIRECT(INDEX(Calcs!$D:$D,MATCH(Dashboard!D15,Calcs!$A:$A,0))),12,3))</f>
        <v>29</v>
      </c>
      <c r="S74" s="88" t="str">
        <f>IF(B74="","","and")</f>
        <v>and</v>
      </c>
      <c r="T74" s="110">
        <f ca="1">IF(Dashboard!D15="","",INDEX(INDIRECT(INDEX(Calcs!$D:$D,MATCH(Dashboard!D15,Calcs!$A:$A,0))),12,5))</f>
        <v>29.5</v>
      </c>
    </row>
    <row r="75" spans="2:20" ht="15.75" x14ac:dyDescent="0.25">
      <c r="B75" s="343"/>
      <c r="D75" s="97" t="str">
        <f>IF(B74="","","Or more than")</f>
        <v>Or more than</v>
      </c>
      <c r="E75" s="112">
        <f ca="1">IF(Dashboard!D15="","",INDEX(INDIRECT(INDEX(Calcs!$D:$D,MATCH(Dashboard!D15,Calcs!$A:$A,0))),12,7))</f>
        <v>30.5</v>
      </c>
      <c r="F75" s="16"/>
      <c r="G75" s="97" t="str">
        <f>IF(B74="","","Or between")</f>
        <v>Or between</v>
      </c>
      <c r="H75" s="113">
        <f ca="1">IF(Dashboard!D15="","",INDEX(INDIRECT(INDEX(Calcs!$D:$D,MATCH(Dashboard!D15,Calcs!$A:$A,0))),12,6))</f>
        <v>30</v>
      </c>
      <c r="I75" s="91" t="str">
        <f>IF(B74="","","and")</f>
        <v>and</v>
      </c>
      <c r="J75" s="112">
        <f ca="1">IF(Dashboard!D15="","",INDEX(INDIRECT(INDEX(Calcs!$D:$D,MATCH(Dashboard!D15,Calcs!$A:$A,0))),12,7))</f>
        <v>30.5</v>
      </c>
      <c r="K75" s="16"/>
      <c r="L75" s="97" t="str">
        <f>IF(B74="","","Or between")</f>
        <v>Or between</v>
      </c>
      <c r="M75" s="113">
        <f ca="1">IF(Dashboard!D15="","",INDEX(INDIRECT(INDEX(Calcs!$D:$D,MATCH(Dashboard!D15,Calcs!$A:$A,0))),12,5))</f>
        <v>29.5</v>
      </c>
      <c r="N75" s="91" t="str">
        <f>IF(B74="","","and")</f>
        <v>and</v>
      </c>
      <c r="O75" s="112">
        <f ca="1">IF(Dashboard!D15="","",INDEX(INDIRECT(INDEX(Calcs!$D:$D,MATCH(Dashboard!D15,Calcs!$A:$A,0))),12,6))</f>
        <v>30</v>
      </c>
      <c r="P75" s="16"/>
      <c r="Q75" s="97"/>
      <c r="R75" s="91"/>
      <c r="S75" s="91"/>
      <c r="T75" s="90"/>
    </row>
    <row r="76" spans="2:20" ht="5.25" customHeight="1" x14ac:dyDescent="0.2">
      <c r="B76" s="40"/>
    </row>
    <row r="77" spans="2:20" ht="15" customHeight="1" x14ac:dyDescent="0.2">
      <c r="B77" s="40"/>
    </row>
    <row r="78" spans="2:20" ht="15.75" x14ac:dyDescent="0.2">
      <c r="B78" s="56" t="s">
        <v>54</v>
      </c>
      <c r="C78" s="56"/>
      <c r="D78" s="57"/>
      <c r="E78" s="57"/>
      <c r="F78" s="56"/>
      <c r="G78" s="57"/>
      <c r="H78" s="57"/>
      <c r="I78" s="57"/>
      <c r="J78" s="57"/>
      <c r="K78" s="56"/>
      <c r="L78" s="57"/>
      <c r="M78" s="57"/>
      <c r="N78" s="57"/>
      <c r="O78" s="57"/>
      <c r="P78" s="56"/>
      <c r="Q78" s="57"/>
      <c r="R78" s="57"/>
      <c r="S78" s="57"/>
      <c r="T78" s="57"/>
    </row>
    <row r="79" spans="2:20" ht="5.65" customHeight="1" x14ac:dyDescent="0.2">
      <c r="D79" s="48"/>
      <c r="E79" s="48"/>
      <c r="G79" s="48"/>
      <c r="H79" s="48"/>
      <c r="I79" s="48"/>
      <c r="J79" s="48"/>
      <c r="L79" s="48"/>
      <c r="M79" s="48"/>
      <c r="N79" s="48"/>
      <c r="O79" s="48"/>
      <c r="Q79" s="48"/>
      <c r="R79" s="48"/>
      <c r="S79" s="48"/>
      <c r="T79" s="48"/>
    </row>
    <row r="80" spans="2:20" x14ac:dyDescent="0.2">
      <c r="D80" s="344" t="s">
        <v>114</v>
      </c>
      <c r="E80" s="345"/>
      <c r="G80" s="333" t="s">
        <v>116</v>
      </c>
      <c r="H80" s="334"/>
      <c r="I80" s="334"/>
      <c r="J80" s="335"/>
      <c r="L80" s="336" t="s">
        <v>121</v>
      </c>
      <c r="M80" s="337"/>
      <c r="N80" s="337"/>
      <c r="O80" s="338"/>
      <c r="Q80" s="339" t="s">
        <v>122</v>
      </c>
      <c r="R80" s="340"/>
      <c r="S80" s="340"/>
      <c r="T80" s="341"/>
    </row>
    <row r="81" spans="2:20" ht="5.65" customHeight="1" x14ac:dyDescent="0.2">
      <c r="D81" s="48"/>
      <c r="E81" s="48"/>
      <c r="G81" s="48"/>
      <c r="H81" s="48"/>
      <c r="I81" s="48"/>
      <c r="J81" s="48"/>
      <c r="L81" s="48"/>
      <c r="M81" s="48"/>
      <c r="N81" s="48"/>
      <c r="O81" s="48"/>
      <c r="Q81" s="48"/>
      <c r="R81" s="48"/>
      <c r="S81" s="48"/>
      <c r="T81" s="48"/>
    </row>
    <row r="82" spans="2:20" ht="15" customHeight="1" x14ac:dyDescent="0.25">
      <c r="B82" s="342" t="s">
        <v>7</v>
      </c>
      <c r="D82" s="85" t="s">
        <v>130</v>
      </c>
      <c r="E82" s="86"/>
      <c r="F82" s="16"/>
      <c r="G82" s="85" t="s">
        <v>130</v>
      </c>
      <c r="H82" s="87"/>
      <c r="I82" s="88"/>
      <c r="J82" s="86"/>
      <c r="K82" s="16"/>
      <c r="L82" s="85" t="s">
        <v>130</v>
      </c>
      <c r="M82" s="87"/>
      <c r="N82" s="88"/>
      <c r="O82" s="86"/>
      <c r="P82" s="16"/>
      <c r="Q82" s="85" t="s">
        <v>130</v>
      </c>
      <c r="R82" s="87"/>
      <c r="S82" s="88"/>
      <c r="T82" s="126"/>
    </row>
    <row r="83" spans="2:20" ht="15.75" x14ac:dyDescent="0.25">
      <c r="B83" s="343"/>
      <c r="D83" s="89" t="str">
        <f>IF(Dashboard!D15="","","Inadequate")</f>
        <v>Inadequate</v>
      </c>
      <c r="E83" s="90"/>
      <c r="F83" s="16"/>
      <c r="G83" s="89" t="str">
        <f>IF(Dashboard!D15="","","Requires Improvement (RI)")</f>
        <v>Requires Improvement (RI)</v>
      </c>
      <c r="H83" s="91"/>
      <c r="I83" s="91"/>
      <c r="J83" s="90"/>
      <c r="K83" s="16"/>
      <c r="L83" s="89" t="str">
        <f>IF(Dashboard!D15="","","Good")</f>
        <v>Good</v>
      </c>
      <c r="M83" s="92"/>
      <c r="N83" s="91"/>
      <c r="O83" s="90"/>
      <c r="P83" s="16"/>
      <c r="Q83" s="89" t="str">
        <f>IF(Dashboard!D15="","","Outstanding")</f>
        <v>Outstanding</v>
      </c>
      <c r="R83" s="91"/>
      <c r="S83" s="91"/>
      <c r="T83" s="90"/>
    </row>
    <row r="84" spans="2:20" ht="5.25" customHeight="1" x14ac:dyDescent="0.2">
      <c r="B84" s="41"/>
      <c r="D84" s="16"/>
      <c r="E84" s="16"/>
      <c r="F84" s="16"/>
      <c r="G84" s="16"/>
      <c r="H84" s="16"/>
      <c r="I84" s="16"/>
      <c r="J84" s="16"/>
      <c r="K84" s="16"/>
      <c r="L84" s="16"/>
      <c r="M84" s="16"/>
      <c r="N84" s="16"/>
      <c r="O84" s="16"/>
      <c r="P84" s="16"/>
      <c r="Q84" s="16"/>
      <c r="R84" s="16"/>
      <c r="S84" s="16"/>
      <c r="T84" s="16"/>
    </row>
    <row r="85" spans="2:20" ht="15.75" x14ac:dyDescent="0.25">
      <c r="B85" s="342" t="str">
        <f>IF(OR($B$3="- a primary school",$B$3="- a nursery school"),"","Progress 8 score")</f>
        <v/>
      </c>
      <c r="D85" s="85" t="str">
        <f>IF(B85="","","Less than or equal to")</f>
        <v/>
      </c>
      <c r="E85" s="86" t="str">
        <f>IF(OR(Dashboard!D15="",B85=""),"",-0.5)</f>
        <v/>
      </c>
      <c r="F85" s="16"/>
      <c r="G85" s="93" t="str">
        <f>IF(B85="","","Between")</f>
        <v/>
      </c>
      <c r="H85" s="94" t="str">
        <f>IF(OR(Dashboard!D15="",B85=""),"",-0.5)</f>
        <v/>
      </c>
      <c r="I85" s="95" t="str">
        <f>IF(B85="","","and")</f>
        <v/>
      </c>
      <c r="J85" s="96" t="str">
        <f>IF(OR(Dashboard!D15="",B85=""),"",0)</f>
        <v/>
      </c>
      <c r="K85" s="16"/>
      <c r="L85" s="93" t="str">
        <f>IF(B85="","","Between")</f>
        <v/>
      </c>
      <c r="M85" s="94" t="str">
        <f>IF(OR(Dashboard!D15="",B85=""),"",0)</f>
        <v/>
      </c>
      <c r="N85" s="95" t="str">
        <f>IF(B85="","","and")</f>
        <v/>
      </c>
      <c r="O85" s="96" t="str">
        <f>IF(OR(Dashboard!D15="",B85=""),"",0.5)</f>
        <v/>
      </c>
      <c r="P85" s="16"/>
      <c r="Q85" s="93" t="str">
        <f>IF(B85="","","More than")</f>
        <v/>
      </c>
      <c r="R85" s="94" t="str">
        <f>IF(OR(Dashboard!D15="",B85=""),"",0.5)</f>
        <v/>
      </c>
      <c r="S85" s="88"/>
      <c r="T85" s="126"/>
    </row>
    <row r="86" spans="2:20" ht="15.75" x14ac:dyDescent="0.25">
      <c r="B86" s="343"/>
      <c r="D86" s="97"/>
      <c r="E86" s="90"/>
      <c r="F86" s="16"/>
      <c r="G86" s="97"/>
      <c r="H86" s="91"/>
      <c r="I86" s="91"/>
      <c r="J86" s="90"/>
      <c r="K86" s="16"/>
      <c r="L86" s="97"/>
      <c r="M86" s="92"/>
      <c r="N86" s="91"/>
      <c r="O86" s="90"/>
      <c r="P86" s="16"/>
      <c r="Q86" s="97"/>
      <c r="R86" s="91"/>
      <c r="S86" s="91"/>
      <c r="T86" s="90"/>
    </row>
    <row r="87" spans="2:20" ht="5.25" customHeight="1" x14ac:dyDescent="0.2">
      <c r="B87" s="41"/>
      <c r="D87" s="16"/>
      <c r="E87" s="16"/>
      <c r="F87" s="16"/>
      <c r="G87" s="16"/>
      <c r="H87" s="16"/>
      <c r="I87" s="16"/>
      <c r="J87" s="16"/>
      <c r="K87" s="16"/>
      <c r="L87" s="16"/>
      <c r="M87" s="16"/>
      <c r="N87" s="16"/>
      <c r="O87" s="16"/>
      <c r="P87" s="16"/>
      <c r="Q87" s="16"/>
      <c r="R87" s="16"/>
      <c r="S87" s="16"/>
      <c r="T87" s="16"/>
    </row>
    <row r="88" spans="2:20" ht="15.75" x14ac:dyDescent="0.25">
      <c r="B88" s="342" t="str">
        <f>IF(OR($B$3="- a secondary school with a sixth form", $B$3="- a secondary school without a sixth form",$B$3="- a nursery school"),"","Progress score in reading")</f>
        <v>Progress score in reading</v>
      </c>
      <c r="D88" s="85" t="str">
        <f>IF(B88="","","Less than or equal to")</f>
        <v>Less than or equal to</v>
      </c>
      <c r="E88" s="96">
        <f>IF(OR(Dashboard!D15="",B88=""),"",-2.7)</f>
        <v>-2.7</v>
      </c>
      <c r="F88" s="16"/>
      <c r="G88" s="93" t="str">
        <f>IF(B88="","","Between")</f>
        <v>Between</v>
      </c>
      <c r="H88" s="94">
        <f>IF(OR(Dashboard!D15="",B88=""),"",-2.7)</f>
        <v>-2.7</v>
      </c>
      <c r="I88" s="95" t="str">
        <f>IF(B88="","","and")</f>
        <v>and</v>
      </c>
      <c r="J88" s="96">
        <f>IF(OR(Dashboard!D15="",B88=""),"",0)</f>
        <v>0</v>
      </c>
      <c r="K88" s="98"/>
      <c r="L88" s="93" t="str">
        <f>IF(B88="","","Between")</f>
        <v>Between</v>
      </c>
      <c r="M88" s="94">
        <f>IF(OR(Dashboard!D15="",B88=""),"",0)</f>
        <v>0</v>
      </c>
      <c r="N88" s="95" t="str">
        <f>IF(B88="","","and")</f>
        <v>and</v>
      </c>
      <c r="O88" s="96">
        <f>IF(OR(Dashboard!D15="",B88=""),"",3.2)</f>
        <v>3.2</v>
      </c>
      <c r="P88" s="98"/>
      <c r="Q88" s="93" t="str">
        <f>IF(B88="","","More than")</f>
        <v>More than</v>
      </c>
      <c r="R88" s="94">
        <f>IF(OR(Dashboard!D15="",B88=""),"",3.2)</f>
        <v>3.2</v>
      </c>
      <c r="S88" s="88"/>
      <c r="T88" s="126"/>
    </row>
    <row r="89" spans="2:20" ht="15.75" x14ac:dyDescent="0.25">
      <c r="B89" s="343"/>
      <c r="D89" s="97"/>
      <c r="E89" s="99"/>
      <c r="F89" s="16"/>
      <c r="G89" s="100"/>
      <c r="H89" s="91"/>
      <c r="I89" s="101"/>
      <c r="J89" s="90"/>
      <c r="K89" s="16"/>
      <c r="L89" s="100"/>
      <c r="M89" s="92"/>
      <c r="N89" s="101"/>
      <c r="O89" s="90"/>
      <c r="P89" s="16"/>
      <c r="Q89" s="100"/>
      <c r="R89" s="91"/>
      <c r="S89" s="91"/>
      <c r="T89" s="90"/>
    </row>
    <row r="90" spans="2:20" ht="5.25" customHeight="1" x14ac:dyDescent="0.2">
      <c r="B90" s="41"/>
      <c r="D90" s="16"/>
      <c r="E90" s="98"/>
      <c r="F90" s="16"/>
      <c r="G90" s="98"/>
      <c r="H90" s="98"/>
      <c r="I90" s="98"/>
      <c r="J90" s="98"/>
      <c r="K90" s="98"/>
      <c r="L90" s="98"/>
      <c r="M90" s="98"/>
      <c r="N90" s="98"/>
      <c r="O90" s="98"/>
      <c r="P90" s="98"/>
      <c r="Q90" s="98"/>
      <c r="R90" s="98"/>
      <c r="S90" s="98"/>
      <c r="T90" s="16"/>
    </row>
    <row r="91" spans="2:20" ht="15.75" x14ac:dyDescent="0.25">
      <c r="B91" s="342" t="str">
        <f>IF(OR($B$3="- a secondary school with a sixth form", $B$3="- a secondary school without a sixth form",$B$3="- a nursery school"),"","Progress score in writing")</f>
        <v>Progress score in writing</v>
      </c>
      <c r="D91" s="85" t="str">
        <f>IF(B91="","","Less than or equal to")</f>
        <v>Less than or equal to</v>
      </c>
      <c r="E91" s="96">
        <f>IF(OR(Dashboard!D15="",B91=""),"",-2.6)</f>
        <v>-2.6</v>
      </c>
      <c r="F91" s="16"/>
      <c r="G91" s="93" t="str">
        <f>IF(B91="","","Between")</f>
        <v>Between</v>
      </c>
      <c r="H91" s="94">
        <f>IF(OR(Dashboard!D15="",B91=""),"",-2.6)</f>
        <v>-2.6</v>
      </c>
      <c r="I91" s="95" t="str">
        <f>IF(B91="","","and")</f>
        <v>and</v>
      </c>
      <c r="J91" s="96">
        <f>IF(OR(Dashboard!D15="",B91=""),"",0)</f>
        <v>0</v>
      </c>
      <c r="K91" s="98"/>
      <c r="L91" s="93" t="str">
        <f>IF(B91="","","Between")</f>
        <v>Between</v>
      </c>
      <c r="M91" s="94">
        <f>IF(OR(Dashboard!D15="",B91=""),"",0)</f>
        <v>0</v>
      </c>
      <c r="N91" s="95" t="str">
        <f>IF(B91="","","and")</f>
        <v>and</v>
      </c>
      <c r="O91" s="96">
        <f>IF(OR(Dashboard!D15="",B91=""),"",2.7)</f>
        <v>2.7</v>
      </c>
      <c r="P91" s="98"/>
      <c r="Q91" s="93" t="str">
        <f>IF(B91="","","More than")</f>
        <v>More than</v>
      </c>
      <c r="R91" s="94">
        <f>IF(OR(Dashboard!D15="",B91=""),"",2.7)</f>
        <v>2.7</v>
      </c>
      <c r="S91" s="95"/>
      <c r="T91" s="126"/>
    </row>
    <row r="92" spans="2:20" ht="15.75" x14ac:dyDescent="0.25">
      <c r="B92" s="343"/>
      <c r="D92" s="97"/>
      <c r="E92" s="99"/>
      <c r="F92" s="16"/>
      <c r="G92" s="100"/>
      <c r="H92" s="101"/>
      <c r="I92" s="101"/>
      <c r="J92" s="99"/>
      <c r="K92" s="98"/>
      <c r="L92" s="100"/>
      <c r="M92" s="102"/>
      <c r="N92" s="101"/>
      <c r="O92" s="99"/>
      <c r="P92" s="98"/>
      <c r="Q92" s="100"/>
      <c r="R92" s="101"/>
      <c r="S92" s="101"/>
      <c r="T92" s="90"/>
    </row>
    <row r="93" spans="2:20" ht="5.25" customHeight="1" x14ac:dyDescent="0.2">
      <c r="B93" s="41"/>
      <c r="D93" s="16"/>
      <c r="E93" s="98"/>
      <c r="F93" s="16"/>
      <c r="G93" s="98"/>
      <c r="H93" s="98"/>
      <c r="I93" s="98"/>
      <c r="J93" s="98"/>
      <c r="K93" s="98"/>
      <c r="L93" s="98"/>
      <c r="M93" s="98"/>
      <c r="N93" s="98"/>
      <c r="O93" s="98"/>
      <c r="P93" s="98"/>
      <c r="Q93" s="98"/>
      <c r="R93" s="98"/>
      <c r="S93" s="98"/>
      <c r="T93" s="16"/>
    </row>
    <row r="94" spans="2:20" ht="15.75" x14ac:dyDescent="0.25">
      <c r="B94" s="342" t="str">
        <f>IF(OR($B$3="- a secondary school with a sixth form", $B$3="- a secondary school without a sixth form",$B$3="- a nursery school"),"","Progress score in maths")</f>
        <v>Progress score in maths</v>
      </c>
      <c r="D94" s="85" t="str">
        <f>IF(B94="","","Less than or equal to")</f>
        <v>Less than or equal to</v>
      </c>
      <c r="E94" s="96">
        <f>IF(OR(Dashboard!D15="",B94=""),"",-3.1)</f>
        <v>-3.1</v>
      </c>
      <c r="F94" s="16"/>
      <c r="G94" s="93" t="str">
        <f>IF(B94="","","Between")</f>
        <v>Between</v>
      </c>
      <c r="H94" s="94">
        <f>IF(OR(Dashboard!D15="",B94=""),"",-3.1)</f>
        <v>-3.1</v>
      </c>
      <c r="I94" s="95" t="str">
        <f>IF(B94="","","and")</f>
        <v>and</v>
      </c>
      <c r="J94" s="96">
        <f>IF(OR(Dashboard!D15="",B94=""),"",0)</f>
        <v>0</v>
      </c>
      <c r="K94" s="98"/>
      <c r="L94" s="93" t="str">
        <f>IF(B94="","","Between")</f>
        <v>Between</v>
      </c>
      <c r="M94" s="94">
        <f>IF(OR(Dashboard!D15="",B94=""),"",0)</f>
        <v>0</v>
      </c>
      <c r="N94" s="95" t="str">
        <f>IF(B94="","","and")</f>
        <v>and</v>
      </c>
      <c r="O94" s="96">
        <f>IF(OR(Dashboard!D15="",B94=""),"",3.2)</f>
        <v>3.2</v>
      </c>
      <c r="P94" s="98"/>
      <c r="Q94" s="93" t="str">
        <f>IF(B94="","","More than")</f>
        <v>More than</v>
      </c>
      <c r="R94" s="94">
        <f>IF(OR(Dashboard!D15="",B94=""),"",3.2)</f>
        <v>3.2</v>
      </c>
      <c r="S94" s="95"/>
      <c r="T94" s="126"/>
    </row>
    <row r="95" spans="2:20" ht="15.75" x14ac:dyDescent="0.25">
      <c r="B95" s="343"/>
      <c r="D95" s="97"/>
      <c r="E95" s="90"/>
      <c r="F95" s="16"/>
      <c r="G95" s="100"/>
      <c r="H95" s="91"/>
      <c r="I95" s="101"/>
      <c r="J95" s="90"/>
      <c r="K95" s="16"/>
      <c r="L95" s="100"/>
      <c r="M95" s="92"/>
      <c r="N95" s="101"/>
      <c r="O95" s="90"/>
      <c r="P95" s="16"/>
      <c r="Q95" s="100"/>
      <c r="R95" s="91"/>
      <c r="S95" s="91"/>
      <c r="T95" s="90"/>
    </row>
    <row r="96" spans="2:20" x14ac:dyDescent="0.2"/>
    <row r="97" x14ac:dyDescent="0.2"/>
    <row r="98" x14ac:dyDescent="0.2"/>
    <row r="99" x14ac:dyDescent="0.2"/>
    <row r="100" x14ac:dyDescent="0.2"/>
    <row r="101" x14ac:dyDescent="0.2"/>
    <row r="102" x14ac:dyDescent="0.2"/>
    <row r="103" x14ac:dyDescent="0.2"/>
    <row r="104" x14ac:dyDescent="0.2"/>
    <row r="105" x14ac:dyDescent="0.2"/>
  </sheetData>
  <sheetProtection formatColumns="0" formatRows="0" insertColumns="0" insertRows="0"/>
  <mergeCells count="39">
    <mergeCell ref="H2:T10"/>
    <mergeCell ref="B85:B86"/>
    <mergeCell ref="B88:B89"/>
    <mergeCell ref="B91:B92"/>
    <mergeCell ref="B94:B95"/>
    <mergeCell ref="B71:B72"/>
    <mergeCell ref="B74:B75"/>
    <mergeCell ref="B82:B83"/>
    <mergeCell ref="D80:E80"/>
    <mergeCell ref="G80:J80"/>
    <mergeCell ref="L80:O80"/>
    <mergeCell ref="Q80:T80"/>
    <mergeCell ref="B56:B57"/>
    <mergeCell ref="B59:B60"/>
    <mergeCell ref="B62:B63"/>
    <mergeCell ref="B68:B69"/>
    <mergeCell ref="B65:B66"/>
    <mergeCell ref="Q43:T43"/>
    <mergeCell ref="B45:B46"/>
    <mergeCell ref="B48:B49"/>
    <mergeCell ref="D54:E54"/>
    <mergeCell ref="G54:J54"/>
    <mergeCell ref="L54:O54"/>
    <mergeCell ref="Q54:T54"/>
    <mergeCell ref="B34:B35"/>
    <mergeCell ref="B37:B38"/>
    <mergeCell ref="D43:E43"/>
    <mergeCell ref="G43:J43"/>
    <mergeCell ref="L43:O43"/>
    <mergeCell ref="B25:B26"/>
    <mergeCell ref="B28:B29"/>
    <mergeCell ref="B16:B17"/>
    <mergeCell ref="D14:E14"/>
    <mergeCell ref="B31:B32"/>
    <mergeCell ref="G14:J14"/>
    <mergeCell ref="L14:O14"/>
    <mergeCell ref="Q14:T14"/>
    <mergeCell ref="B19:B20"/>
    <mergeCell ref="B22:B23"/>
  </mergeCells>
  <conditionalFormatting sqref="B85:T86">
    <cfRule type="expression" dxfId="3" priority="4">
      <formula>$B$85=""</formula>
    </cfRule>
  </conditionalFormatting>
  <conditionalFormatting sqref="B88:T95">
    <cfRule type="expression" dxfId="2" priority="3">
      <formula>$B$88=""</formula>
    </cfRule>
  </conditionalFormatting>
  <conditionalFormatting sqref="B74:T75">
    <cfRule type="expression" dxfId="1" priority="2">
      <formula>$B$74=""</formula>
    </cfRule>
  </conditionalFormatting>
  <conditionalFormatting sqref="B68:T69">
    <cfRule type="expression" dxfId="0" priority="1">
      <formula>$B$68=""</formula>
    </cfRule>
  </conditionalFormatting>
  <pageMargins left="0.7" right="0.7" top="0.75" bottom="0.75" header="0.3" footer="0.3"/>
  <pageSetup paperSize="9" scale="4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0.499984740745262"/>
    <pageSetUpPr fitToPage="1"/>
  </sheetPr>
  <dimension ref="A1:R608"/>
  <sheetViews>
    <sheetView showGridLines="0" topLeftCell="B1" zoomScale="90" zoomScaleNormal="90" workbookViewId="0">
      <selection activeCell="B1" sqref="B1"/>
    </sheetView>
  </sheetViews>
  <sheetFormatPr defaultColWidth="0" defaultRowHeight="15" zeroHeight="1" outlineLevelRow="1" x14ac:dyDescent="0.2"/>
  <cols>
    <col min="1" max="1" width="10.28515625" style="59" hidden="1" customWidth="1"/>
    <col min="2" max="2" width="30.140625" style="59" customWidth="1"/>
    <col min="3" max="3" width="13" style="59" customWidth="1"/>
    <col min="4" max="4" width="15" style="59" customWidth="1"/>
    <col min="5" max="5" width="77.85546875" style="39" bestFit="1" customWidth="1"/>
    <col min="6" max="7" width="9" style="39" customWidth="1"/>
    <col min="8" max="8" width="9.5703125" style="39" customWidth="1"/>
    <col min="9" max="9" width="9.85546875" style="39" customWidth="1"/>
    <col min="10" max="10" width="9" style="39" customWidth="1"/>
    <col min="11" max="12" width="9.5703125" style="39" customWidth="1"/>
    <col min="13" max="18" width="9" style="39" customWidth="1"/>
    <col min="19" max="16384" width="9" style="39" hidden="1"/>
  </cols>
  <sheetData>
    <row r="1" spans="1:14" ht="15.75" x14ac:dyDescent="0.25">
      <c r="B1" s="60" t="s">
        <v>175</v>
      </c>
    </row>
    <row r="2" spans="1:14" s="61" customFormat="1" x14ac:dyDescent="0.2"/>
    <row r="3" spans="1:14" s="63" customFormat="1" ht="60" x14ac:dyDescent="0.25">
      <c r="A3" s="62" t="s">
        <v>146</v>
      </c>
      <c r="B3" s="62" t="s">
        <v>16</v>
      </c>
      <c r="C3" s="62" t="s">
        <v>129</v>
      </c>
      <c r="D3" s="62" t="s">
        <v>20</v>
      </c>
      <c r="F3" s="64" t="s">
        <v>149</v>
      </c>
      <c r="G3" s="64" t="s">
        <v>150</v>
      </c>
      <c r="H3" s="64" t="s">
        <v>151</v>
      </c>
      <c r="I3" s="64" t="s">
        <v>156</v>
      </c>
      <c r="J3" s="64" t="s">
        <v>155</v>
      </c>
      <c r="K3" s="64" t="s">
        <v>152</v>
      </c>
      <c r="L3" s="64" t="s">
        <v>153</v>
      </c>
      <c r="N3" s="63" t="s">
        <v>154</v>
      </c>
    </row>
    <row r="4" spans="1:14" x14ac:dyDescent="0.2">
      <c r="A4" s="59">
        <v>726</v>
      </c>
      <c r="B4" s="39" t="s">
        <v>21</v>
      </c>
      <c r="C4" s="39" t="s">
        <v>136</v>
      </c>
      <c r="D4" s="39" t="s">
        <v>137</v>
      </c>
      <c r="E4" s="154" t="s">
        <v>176</v>
      </c>
    </row>
    <row r="5" spans="1:14" hidden="1" outlineLevel="1" x14ac:dyDescent="0.2">
      <c r="B5" s="61" t="s">
        <v>21</v>
      </c>
      <c r="C5" s="61" t="s">
        <v>136</v>
      </c>
      <c r="D5" s="61" t="s">
        <v>137</v>
      </c>
      <c r="E5" s="65" t="s">
        <v>104</v>
      </c>
      <c r="F5" s="66">
        <v>0.39500000000000002</v>
      </c>
      <c r="G5" s="67">
        <v>0.42</v>
      </c>
      <c r="H5" s="68">
        <v>0.45500000000000002</v>
      </c>
      <c r="I5" s="69">
        <v>0.47</v>
      </c>
      <c r="J5" s="68">
        <v>0.48499999999999999</v>
      </c>
      <c r="K5" s="67">
        <v>0.51500000000000001</v>
      </c>
      <c r="L5" s="66">
        <v>0.54</v>
      </c>
    </row>
    <row r="6" spans="1:14" hidden="1" outlineLevel="1" x14ac:dyDescent="0.2">
      <c r="B6" s="61" t="s">
        <v>21</v>
      </c>
      <c r="C6" s="61" t="s">
        <v>136</v>
      </c>
      <c r="D6" s="61" t="s">
        <v>137</v>
      </c>
      <c r="E6" s="65" t="s">
        <v>105</v>
      </c>
      <c r="F6" s="69"/>
      <c r="G6" s="69"/>
      <c r="H6" s="68">
        <v>0.02</v>
      </c>
      <c r="I6" s="69">
        <v>0.02</v>
      </c>
      <c r="J6" s="68">
        <v>2.5000000000000001E-2</v>
      </c>
      <c r="K6" s="67">
        <v>0.04</v>
      </c>
      <c r="L6" s="66">
        <v>5.5E-2</v>
      </c>
    </row>
    <row r="7" spans="1:14" hidden="1" outlineLevel="1" x14ac:dyDescent="0.2">
      <c r="B7" s="61" t="s">
        <v>21</v>
      </c>
      <c r="C7" s="61" t="s">
        <v>136</v>
      </c>
      <c r="D7" s="61" t="s">
        <v>137</v>
      </c>
      <c r="E7" s="65" t="s">
        <v>106</v>
      </c>
      <c r="F7" s="69"/>
      <c r="G7" s="69"/>
      <c r="H7" s="68">
        <v>0.125</v>
      </c>
      <c r="I7" s="69">
        <v>0.13</v>
      </c>
      <c r="J7" s="68">
        <v>0.14499999999999999</v>
      </c>
      <c r="K7" s="67">
        <v>0.17</v>
      </c>
      <c r="L7" s="66">
        <v>0.19</v>
      </c>
    </row>
    <row r="8" spans="1:14" hidden="1" outlineLevel="1" x14ac:dyDescent="0.2">
      <c r="B8" s="61" t="s">
        <v>21</v>
      </c>
      <c r="C8" s="61" t="s">
        <v>136</v>
      </c>
      <c r="D8" s="61" t="s">
        <v>137</v>
      </c>
      <c r="E8" s="65" t="s">
        <v>107</v>
      </c>
      <c r="F8" s="69"/>
      <c r="G8" s="69"/>
      <c r="H8" s="69"/>
      <c r="I8" s="69">
        <v>5.5E-2</v>
      </c>
      <c r="J8" s="69"/>
      <c r="K8" s="67">
        <v>7.4999999999999997E-2</v>
      </c>
      <c r="L8" s="66">
        <v>8.5000000000000006E-2</v>
      </c>
    </row>
    <row r="9" spans="1:14" hidden="1" outlineLevel="1" x14ac:dyDescent="0.2">
      <c r="B9" s="61" t="s">
        <v>21</v>
      </c>
      <c r="C9" s="61" t="s">
        <v>136</v>
      </c>
      <c r="D9" s="61" t="s">
        <v>137</v>
      </c>
      <c r="E9" s="65" t="s">
        <v>108</v>
      </c>
      <c r="F9" s="69"/>
      <c r="G9" s="69"/>
      <c r="H9" s="69"/>
      <c r="I9" s="69">
        <v>0.03</v>
      </c>
      <c r="J9" s="69"/>
      <c r="K9" s="67">
        <v>0.05</v>
      </c>
      <c r="L9" s="66">
        <v>0.06</v>
      </c>
    </row>
    <row r="10" spans="1:14" hidden="1" outlineLevel="1" x14ac:dyDescent="0.2">
      <c r="B10" s="61" t="s">
        <v>21</v>
      </c>
      <c r="C10" s="61" t="s">
        <v>136</v>
      </c>
      <c r="D10" s="61" t="s">
        <v>137</v>
      </c>
      <c r="E10" s="65" t="s">
        <v>109</v>
      </c>
      <c r="F10" s="69"/>
      <c r="G10" s="69"/>
      <c r="H10" s="69"/>
      <c r="I10" s="69">
        <v>0.05</v>
      </c>
      <c r="J10" s="69"/>
      <c r="K10" s="67">
        <v>6.5000000000000002E-2</v>
      </c>
      <c r="L10" s="66">
        <v>0.08</v>
      </c>
    </row>
    <row r="11" spans="1:14" hidden="1" outlineLevel="1" x14ac:dyDescent="0.2">
      <c r="B11" s="61" t="s">
        <v>21</v>
      </c>
      <c r="C11" s="61" t="s">
        <v>136</v>
      </c>
      <c r="D11" s="61" t="s">
        <v>137</v>
      </c>
      <c r="E11" s="65" t="s">
        <v>110</v>
      </c>
      <c r="F11" s="66">
        <v>0.03</v>
      </c>
      <c r="G11" s="67">
        <v>0.04</v>
      </c>
      <c r="H11" s="68">
        <v>0.05</v>
      </c>
      <c r="I11" s="69">
        <v>5.5E-2</v>
      </c>
      <c r="J11" s="68">
        <v>6.5000000000000002E-2</v>
      </c>
      <c r="K11" s="69"/>
      <c r="L11" s="69"/>
    </row>
    <row r="12" spans="1:14" hidden="1" outlineLevel="1" x14ac:dyDescent="0.2">
      <c r="B12" s="61" t="s">
        <v>21</v>
      </c>
      <c r="C12" s="61" t="s">
        <v>136</v>
      </c>
      <c r="D12" s="61" t="s">
        <v>137</v>
      </c>
      <c r="E12" s="70" t="s">
        <v>111</v>
      </c>
      <c r="F12" s="69"/>
      <c r="G12" s="69"/>
      <c r="H12" s="69"/>
      <c r="I12" s="69">
        <v>0.01</v>
      </c>
      <c r="J12" s="69"/>
      <c r="K12" s="67">
        <v>1.4999999999999999E-2</v>
      </c>
      <c r="L12" s="66">
        <v>0.02</v>
      </c>
    </row>
    <row r="13" spans="1:14" hidden="1" outlineLevel="1" x14ac:dyDescent="0.2">
      <c r="B13" s="61" t="s">
        <v>21</v>
      </c>
      <c r="C13" s="61" t="s">
        <v>136</v>
      </c>
      <c r="D13" s="61" t="s">
        <v>137</v>
      </c>
      <c r="E13" s="65" t="s">
        <v>34</v>
      </c>
      <c r="F13" s="69"/>
      <c r="G13" s="69"/>
      <c r="H13" s="68">
        <v>0.115</v>
      </c>
      <c r="I13" s="69">
        <v>0.125</v>
      </c>
      <c r="J13" s="68">
        <v>0.14000000000000001</v>
      </c>
      <c r="K13" s="67">
        <v>0.17499999999999999</v>
      </c>
      <c r="L13" s="66">
        <v>0.21</v>
      </c>
    </row>
    <row r="14" spans="1:14" hidden="1" outlineLevel="1" x14ac:dyDescent="0.2">
      <c r="B14" s="61" t="s">
        <v>21</v>
      </c>
      <c r="C14" s="61" t="s">
        <v>136</v>
      </c>
      <c r="D14" s="61" t="s">
        <v>137</v>
      </c>
      <c r="E14" s="65" t="s">
        <v>4</v>
      </c>
      <c r="F14" s="71">
        <v>12</v>
      </c>
      <c r="G14" s="72">
        <v>14</v>
      </c>
      <c r="H14" s="73">
        <v>16</v>
      </c>
      <c r="I14" s="74">
        <v>17</v>
      </c>
      <c r="J14" s="73">
        <v>18</v>
      </c>
      <c r="K14" s="72">
        <v>20</v>
      </c>
      <c r="L14" s="71">
        <v>22.5</v>
      </c>
    </row>
    <row r="15" spans="1:14" hidden="1" outlineLevel="1" x14ac:dyDescent="0.2">
      <c r="B15" s="61" t="s">
        <v>21</v>
      </c>
      <c r="C15" s="61" t="s">
        <v>136</v>
      </c>
      <c r="D15" s="61" t="s">
        <v>137</v>
      </c>
      <c r="E15" s="65" t="s">
        <v>14</v>
      </c>
      <c r="F15" s="71">
        <v>6</v>
      </c>
      <c r="G15" s="72">
        <v>7</v>
      </c>
      <c r="H15" s="73">
        <v>8</v>
      </c>
      <c r="I15" s="74">
        <v>8.5</v>
      </c>
      <c r="J15" s="73">
        <v>9</v>
      </c>
      <c r="K15" s="72">
        <v>10</v>
      </c>
      <c r="L15" s="71">
        <v>11</v>
      </c>
    </row>
    <row r="16" spans="1:14" hidden="1" outlineLevel="1" x14ac:dyDescent="0.2">
      <c r="B16" s="61" t="s">
        <v>21</v>
      </c>
      <c r="C16" s="61" t="s">
        <v>136</v>
      </c>
      <c r="D16" s="61" t="s">
        <v>137</v>
      </c>
      <c r="E16" s="65" t="s">
        <v>0</v>
      </c>
      <c r="F16" s="71">
        <v>14.5</v>
      </c>
      <c r="G16" s="72">
        <v>17</v>
      </c>
      <c r="H16" s="73">
        <v>20.5</v>
      </c>
      <c r="I16" s="74">
        <v>21</v>
      </c>
      <c r="J16" s="73">
        <v>22.5</v>
      </c>
      <c r="K16" s="72">
        <v>24.5</v>
      </c>
      <c r="L16" s="71">
        <v>26</v>
      </c>
    </row>
    <row r="17" spans="1:12" hidden="1" outlineLevel="1" x14ac:dyDescent="0.2"/>
    <row r="18" spans="1:12" collapsed="1" x14ac:dyDescent="0.2">
      <c r="A18" s="59">
        <v>698</v>
      </c>
      <c r="B18" s="39" t="s">
        <v>21</v>
      </c>
      <c r="C18" s="39" t="s">
        <v>138</v>
      </c>
      <c r="D18" s="39" t="s">
        <v>137</v>
      </c>
      <c r="E18" s="154" t="s">
        <v>177</v>
      </c>
    </row>
    <row r="19" spans="1:12" hidden="1" outlineLevel="1" x14ac:dyDescent="0.2">
      <c r="B19" s="39" t="s">
        <v>21</v>
      </c>
      <c r="C19" s="39" t="s">
        <v>138</v>
      </c>
      <c r="D19" s="39" t="s">
        <v>137</v>
      </c>
      <c r="E19" s="65" t="s">
        <v>104</v>
      </c>
      <c r="F19" s="66">
        <v>0.40500000000000003</v>
      </c>
      <c r="G19" s="67">
        <v>0.43</v>
      </c>
      <c r="H19" s="68">
        <v>0.46</v>
      </c>
      <c r="I19" s="69">
        <v>0.47</v>
      </c>
      <c r="J19" s="68">
        <v>0.48</v>
      </c>
      <c r="K19" s="67">
        <v>0.51500000000000001</v>
      </c>
      <c r="L19" s="66">
        <v>0.53500000000000003</v>
      </c>
    </row>
    <row r="20" spans="1:12" hidden="1" outlineLevel="1" x14ac:dyDescent="0.2">
      <c r="B20" s="39" t="s">
        <v>21</v>
      </c>
      <c r="C20" s="39" t="s">
        <v>138</v>
      </c>
      <c r="D20" s="39" t="s">
        <v>137</v>
      </c>
      <c r="E20" s="65" t="s">
        <v>105</v>
      </c>
      <c r="F20" s="69"/>
      <c r="G20" s="69"/>
      <c r="H20" s="68">
        <v>0.02</v>
      </c>
      <c r="I20" s="69">
        <v>0.02</v>
      </c>
      <c r="J20" s="68">
        <v>2.5000000000000001E-2</v>
      </c>
      <c r="K20" s="67">
        <v>0.04</v>
      </c>
      <c r="L20" s="66">
        <v>5.5E-2</v>
      </c>
    </row>
    <row r="21" spans="1:12" hidden="1" outlineLevel="1" x14ac:dyDescent="0.2">
      <c r="B21" s="39" t="s">
        <v>21</v>
      </c>
      <c r="C21" s="39" t="s">
        <v>138</v>
      </c>
      <c r="D21" s="39" t="s">
        <v>137</v>
      </c>
      <c r="E21" s="65" t="s">
        <v>106</v>
      </c>
      <c r="F21" s="69"/>
      <c r="G21" s="69"/>
      <c r="H21" s="68">
        <v>0.13500000000000001</v>
      </c>
      <c r="I21" s="69">
        <v>0.14499999999999999</v>
      </c>
      <c r="J21" s="68">
        <v>0.155</v>
      </c>
      <c r="K21" s="67">
        <v>0.17499999999999999</v>
      </c>
      <c r="L21" s="66">
        <v>0.19500000000000001</v>
      </c>
    </row>
    <row r="22" spans="1:12" hidden="1" outlineLevel="1" x14ac:dyDescent="0.2">
      <c r="B22" s="39" t="s">
        <v>21</v>
      </c>
      <c r="C22" s="39" t="s">
        <v>138</v>
      </c>
      <c r="D22" s="39" t="s">
        <v>137</v>
      </c>
      <c r="E22" s="65" t="s">
        <v>107</v>
      </c>
      <c r="F22" s="69"/>
      <c r="G22" s="69"/>
      <c r="H22" s="69"/>
      <c r="I22" s="69">
        <v>0.05</v>
      </c>
      <c r="J22" s="69"/>
      <c r="K22" s="67">
        <v>6.5000000000000002E-2</v>
      </c>
      <c r="L22" s="66">
        <v>7.4999999999999997E-2</v>
      </c>
    </row>
    <row r="23" spans="1:12" hidden="1" outlineLevel="1" x14ac:dyDescent="0.2">
      <c r="B23" s="39" t="s">
        <v>21</v>
      </c>
      <c r="C23" s="39" t="s">
        <v>138</v>
      </c>
      <c r="D23" s="39" t="s">
        <v>137</v>
      </c>
      <c r="E23" s="65" t="s">
        <v>108</v>
      </c>
      <c r="F23" s="69"/>
      <c r="G23" s="69"/>
      <c r="H23" s="69"/>
      <c r="I23" s="69">
        <v>0.03</v>
      </c>
      <c r="J23" s="69"/>
      <c r="K23" s="67">
        <v>0.05</v>
      </c>
      <c r="L23" s="66">
        <v>6.5000000000000002E-2</v>
      </c>
    </row>
    <row r="24" spans="1:12" hidden="1" outlineLevel="1" x14ac:dyDescent="0.2">
      <c r="B24" s="39" t="s">
        <v>21</v>
      </c>
      <c r="C24" s="39" t="s">
        <v>138</v>
      </c>
      <c r="D24" s="39" t="s">
        <v>137</v>
      </c>
      <c r="E24" s="65" t="s">
        <v>109</v>
      </c>
      <c r="F24" s="69"/>
      <c r="G24" s="69"/>
      <c r="H24" s="69"/>
      <c r="I24" s="69">
        <v>0.05</v>
      </c>
      <c r="J24" s="69"/>
      <c r="K24" s="67">
        <v>0.06</v>
      </c>
      <c r="L24" s="66">
        <v>7.0000000000000007E-2</v>
      </c>
    </row>
    <row r="25" spans="1:12" hidden="1" outlineLevel="1" x14ac:dyDescent="0.2">
      <c r="B25" s="39" t="s">
        <v>21</v>
      </c>
      <c r="C25" s="39" t="s">
        <v>138</v>
      </c>
      <c r="D25" s="39" t="s">
        <v>137</v>
      </c>
      <c r="E25" s="65" t="s">
        <v>110</v>
      </c>
      <c r="F25" s="66">
        <v>0.03</v>
      </c>
      <c r="G25" s="67">
        <v>0.04</v>
      </c>
      <c r="H25" s="68">
        <v>0.05</v>
      </c>
      <c r="I25" s="69">
        <v>5.5E-2</v>
      </c>
      <c r="J25" s="68">
        <v>0.06</v>
      </c>
      <c r="K25" s="69"/>
      <c r="L25" s="69"/>
    </row>
    <row r="26" spans="1:12" hidden="1" outlineLevel="1" x14ac:dyDescent="0.2">
      <c r="B26" s="39" t="s">
        <v>21</v>
      </c>
      <c r="C26" s="39" t="s">
        <v>138</v>
      </c>
      <c r="D26" s="39" t="s">
        <v>137</v>
      </c>
      <c r="E26" s="65" t="s">
        <v>111</v>
      </c>
      <c r="F26" s="69"/>
      <c r="G26" s="69"/>
      <c r="H26" s="69"/>
      <c r="I26" s="69">
        <v>0.01</v>
      </c>
      <c r="J26" s="69"/>
      <c r="K26" s="67">
        <v>1.4999999999999999E-2</v>
      </c>
      <c r="L26" s="66">
        <v>0.02</v>
      </c>
    </row>
    <row r="27" spans="1:12" hidden="1" outlineLevel="1" x14ac:dyDescent="0.2">
      <c r="B27" s="39" t="s">
        <v>21</v>
      </c>
      <c r="C27" s="39" t="s">
        <v>138</v>
      </c>
      <c r="D27" s="39" t="s">
        <v>137</v>
      </c>
      <c r="E27" s="65" t="s">
        <v>34</v>
      </c>
      <c r="F27" s="69"/>
      <c r="G27" s="69"/>
      <c r="H27" s="68">
        <v>0.1</v>
      </c>
      <c r="I27" s="69">
        <v>0.115</v>
      </c>
      <c r="J27" s="68">
        <v>0.125</v>
      </c>
      <c r="K27" s="67">
        <v>0.155</v>
      </c>
      <c r="L27" s="66">
        <v>0.18</v>
      </c>
    </row>
    <row r="28" spans="1:12" hidden="1" outlineLevel="1" x14ac:dyDescent="0.2">
      <c r="B28" s="39" t="s">
        <v>21</v>
      </c>
      <c r="C28" s="39" t="s">
        <v>138</v>
      </c>
      <c r="D28" s="39" t="s">
        <v>137</v>
      </c>
      <c r="E28" s="65" t="s">
        <v>4</v>
      </c>
      <c r="F28" s="71">
        <v>17</v>
      </c>
      <c r="G28" s="72">
        <v>18.5</v>
      </c>
      <c r="H28" s="73">
        <v>19.5</v>
      </c>
      <c r="I28" s="74">
        <v>20.5</v>
      </c>
      <c r="J28" s="73">
        <v>21</v>
      </c>
      <c r="K28" s="72">
        <v>22.5</v>
      </c>
      <c r="L28" s="71">
        <v>24</v>
      </c>
    </row>
    <row r="29" spans="1:12" hidden="1" outlineLevel="1" x14ac:dyDescent="0.2">
      <c r="B29" s="39" t="s">
        <v>21</v>
      </c>
      <c r="C29" s="39" t="s">
        <v>138</v>
      </c>
      <c r="D29" s="39" t="s">
        <v>137</v>
      </c>
      <c r="E29" s="65" t="s">
        <v>14</v>
      </c>
      <c r="F29" s="71">
        <v>8</v>
      </c>
      <c r="G29" s="72">
        <v>8.5</v>
      </c>
      <c r="H29" s="73">
        <v>9</v>
      </c>
      <c r="I29" s="74">
        <v>9.5</v>
      </c>
      <c r="J29" s="73">
        <v>10</v>
      </c>
      <c r="K29" s="72">
        <v>11</v>
      </c>
      <c r="L29" s="71">
        <v>12</v>
      </c>
    </row>
    <row r="30" spans="1:12" hidden="1" outlineLevel="1" x14ac:dyDescent="0.2">
      <c r="B30" s="39" t="s">
        <v>21</v>
      </c>
      <c r="C30" s="39" t="s">
        <v>138</v>
      </c>
      <c r="D30" s="39" t="s">
        <v>137</v>
      </c>
      <c r="E30" s="65" t="s">
        <v>0</v>
      </c>
      <c r="F30" s="71">
        <v>21.5</v>
      </c>
      <c r="G30" s="72">
        <v>23</v>
      </c>
      <c r="H30" s="73">
        <v>25</v>
      </c>
      <c r="I30" s="74">
        <v>26</v>
      </c>
      <c r="J30" s="73">
        <v>26.5</v>
      </c>
      <c r="K30" s="72">
        <v>28</v>
      </c>
      <c r="L30" s="71">
        <v>29</v>
      </c>
    </row>
    <row r="31" spans="1:12" hidden="1" outlineLevel="1" x14ac:dyDescent="0.2"/>
    <row r="32" spans="1:12" collapsed="1" x14ac:dyDescent="0.2">
      <c r="A32" s="75">
        <v>1757</v>
      </c>
      <c r="B32" s="39" t="s">
        <v>21</v>
      </c>
      <c r="C32" s="39" t="s">
        <v>139</v>
      </c>
      <c r="D32" s="39" t="s">
        <v>137</v>
      </c>
      <c r="E32" s="154" t="s">
        <v>178</v>
      </c>
    </row>
    <row r="33" spans="1:12" hidden="1" outlineLevel="1" x14ac:dyDescent="0.2">
      <c r="B33" s="39" t="s">
        <v>21</v>
      </c>
      <c r="C33" s="39" t="s">
        <v>139</v>
      </c>
      <c r="D33" s="39" t="s">
        <v>137</v>
      </c>
      <c r="E33" s="65" t="s">
        <v>104</v>
      </c>
      <c r="F33" s="66">
        <v>0.40500000000000003</v>
      </c>
      <c r="G33" s="67">
        <v>0.42499999999999999</v>
      </c>
      <c r="H33" s="68">
        <v>0.45500000000000002</v>
      </c>
      <c r="I33" s="69">
        <v>0.46500000000000002</v>
      </c>
      <c r="J33" s="68">
        <v>0.48</v>
      </c>
      <c r="K33" s="67">
        <v>0.505</v>
      </c>
      <c r="L33" s="66">
        <v>0.52500000000000002</v>
      </c>
    </row>
    <row r="34" spans="1:12" hidden="1" outlineLevel="1" x14ac:dyDescent="0.2">
      <c r="B34" s="39" t="s">
        <v>21</v>
      </c>
      <c r="C34" s="39" t="s">
        <v>139</v>
      </c>
      <c r="D34" s="39" t="s">
        <v>137</v>
      </c>
      <c r="E34" s="65" t="s">
        <v>105</v>
      </c>
      <c r="F34" s="69"/>
      <c r="G34" s="69"/>
      <c r="H34" s="68">
        <v>0.02</v>
      </c>
      <c r="I34" s="69">
        <v>0.02</v>
      </c>
      <c r="J34" s="68">
        <v>2.5000000000000001E-2</v>
      </c>
      <c r="K34" s="67">
        <v>0.04</v>
      </c>
      <c r="L34" s="66">
        <v>0.05</v>
      </c>
    </row>
    <row r="35" spans="1:12" hidden="1" outlineLevel="1" x14ac:dyDescent="0.2">
      <c r="B35" s="39" t="s">
        <v>21</v>
      </c>
      <c r="C35" s="39" t="s">
        <v>139</v>
      </c>
      <c r="D35" s="39" t="s">
        <v>137</v>
      </c>
      <c r="E35" s="65" t="s">
        <v>106</v>
      </c>
      <c r="F35" s="69"/>
      <c r="G35" s="69"/>
      <c r="H35" s="68">
        <v>0.14499999999999999</v>
      </c>
      <c r="I35" s="69">
        <v>0.155</v>
      </c>
      <c r="J35" s="68">
        <v>0.16500000000000001</v>
      </c>
      <c r="K35" s="67">
        <v>0.19</v>
      </c>
      <c r="L35" s="66">
        <v>0.21</v>
      </c>
    </row>
    <row r="36" spans="1:12" hidden="1" outlineLevel="1" x14ac:dyDescent="0.2">
      <c r="B36" s="39" t="s">
        <v>21</v>
      </c>
      <c r="C36" s="39" t="s">
        <v>139</v>
      </c>
      <c r="D36" s="39" t="s">
        <v>137</v>
      </c>
      <c r="E36" s="65" t="s">
        <v>107</v>
      </c>
      <c r="F36" s="69"/>
      <c r="G36" s="69"/>
      <c r="H36" s="69"/>
      <c r="I36" s="69">
        <v>0.05</v>
      </c>
      <c r="J36" s="69"/>
      <c r="K36" s="67">
        <v>0.06</v>
      </c>
      <c r="L36" s="66">
        <v>7.0000000000000007E-2</v>
      </c>
    </row>
    <row r="37" spans="1:12" hidden="1" outlineLevel="1" x14ac:dyDescent="0.2">
      <c r="B37" s="39" t="s">
        <v>21</v>
      </c>
      <c r="C37" s="39" t="s">
        <v>139</v>
      </c>
      <c r="D37" s="39" t="s">
        <v>137</v>
      </c>
      <c r="E37" s="65" t="s">
        <v>108</v>
      </c>
      <c r="F37" s="69"/>
      <c r="G37" s="69"/>
      <c r="H37" s="69"/>
      <c r="I37" s="69">
        <v>3.5000000000000003E-2</v>
      </c>
      <c r="J37" s="69"/>
      <c r="K37" s="67">
        <v>0.05</v>
      </c>
      <c r="L37" s="66">
        <v>6.5000000000000002E-2</v>
      </c>
    </row>
    <row r="38" spans="1:12" hidden="1" outlineLevel="1" x14ac:dyDescent="0.2">
      <c r="B38" s="39" t="s">
        <v>21</v>
      </c>
      <c r="C38" s="39" t="s">
        <v>139</v>
      </c>
      <c r="D38" s="39" t="s">
        <v>137</v>
      </c>
      <c r="E38" s="65" t="s">
        <v>109</v>
      </c>
      <c r="F38" s="69"/>
      <c r="G38" s="69"/>
      <c r="H38" s="69"/>
      <c r="I38" s="69">
        <v>0.05</v>
      </c>
      <c r="J38" s="69"/>
      <c r="K38" s="67">
        <v>6.5000000000000002E-2</v>
      </c>
      <c r="L38" s="66">
        <v>7.4999999999999997E-2</v>
      </c>
    </row>
    <row r="39" spans="1:12" hidden="1" outlineLevel="1" x14ac:dyDescent="0.2">
      <c r="B39" s="39" t="s">
        <v>21</v>
      </c>
      <c r="C39" s="39" t="s">
        <v>139</v>
      </c>
      <c r="D39" s="39" t="s">
        <v>137</v>
      </c>
      <c r="E39" s="65" t="s">
        <v>110</v>
      </c>
      <c r="F39" s="66">
        <v>0.03</v>
      </c>
      <c r="G39" s="67">
        <v>0.04</v>
      </c>
      <c r="H39" s="68">
        <v>0.05</v>
      </c>
      <c r="I39" s="69">
        <v>5.5E-2</v>
      </c>
      <c r="J39" s="68">
        <v>0.06</v>
      </c>
      <c r="K39" s="69"/>
      <c r="L39" s="69"/>
    </row>
    <row r="40" spans="1:12" hidden="1" outlineLevel="1" x14ac:dyDescent="0.2">
      <c r="B40" s="39" t="s">
        <v>21</v>
      </c>
      <c r="C40" s="39" t="s">
        <v>139</v>
      </c>
      <c r="D40" s="39" t="s">
        <v>137</v>
      </c>
      <c r="E40" s="70" t="s">
        <v>111</v>
      </c>
      <c r="F40" s="69"/>
      <c r="G40" s="69"/>
      <c r="H40" s="69"/>
      <c r="I40" s="69">
        <v>0.01</v>
      </c>
      <c r="J40" s="69"/>
      <c r="K40" s="67">
        <v>1.4999999999999999E-2</v>
      </c>
      <c r="L40" s="66">
        <v>0.02</v>
      </c>
    </row>
    <row r="41" spans="1:12" hidden="1" outlineLevel="1" x14ac:dyDescent="0.2">
      <c r="B41" s="39" t="s">
        <v>21</v>
      </c>
      <c r="C41" s="39" t="s">
        <v>139</v>
      </c>
      <c r="D41" s="39" t="s">
        <v>137</v>
      </c>
      <c r="E41" s="65" t="s">
        <v>34</v>
      </c>
      <c r="F41" s="69"/>
      <c r="G41" s="69"/>
      <c r="H41" s="68">
        <v>0.09</v>
      </c>
      <c r="I41" s="69">
        <v>9.5000000000000001E-2</v>
      </c>
      <c r="J41" s="68">
        <v>0.1</v>
      </c>
      <c r="K41" s="67">
        <v>0.115</v>
      </c>
      <c r="L41" s="66">
        <v>0.13500000000000001</v>
      </c>
    </row>
    <row r="42" spans="1:12" hidden="1" outlineLevel="1" x14ac:dyDescent="0.2">
      <c r="B42" s="39" t="s">
        <v>21</v>
      </c>
      <c r="C42" s="39" t="s">
        <v>139</v>
      </c>
      <c r="D42" s="39" t="s">
        <v>137</v>
      </c>
      <c r="E42" s="65" t="s">
        <v>4</v>
      </c>
      <c r="F42" s="71">
        <v>19.5</v>
      </c>
      <c r="G42" s="72">
        <v>20.5</v>
      </c>
      <c r="H42" s="73">
        <v>22</v>
      </c>
      <c r="I42" s="74">
        <v>22.5</v>
      </c>
      <c r="J42" s="73">
        <v>23</v>
      </c>
      <c r="K42" s="72">
        <v>24.5</v>
      </c>
      <c r="L42" s="71">
        <v>26</v>
      </c>
    </row>
    <row r="43" spans="1:12" hidden="1" outlineLevel="1" x14ac:dyDescent="0.2">
      <c r="B43" s="39" t="s">
        <v>21</v>
      </c>
      <c r="C43" s="39" t="s">
        <v>139</v>
      </c>
      <c r="D43" s="39" t="s">
        <v>137</v>
      </c>
      <c r="E43" s="65" t="s">
        <v>14</v>
      </c>
      <c r="F43" s="71">
        <v>8.5</v>
      </c>
      <c r="G43" s="72">
        <v>9.5</v>
      </c>
      <c r="H43" s="73">
        <v>10</v>
      </c>
      <c r="I43" s="74">
        <v>10.5</v>
      </c>
      <c r="J43" s="73">
        <v>11</v>
      </c>
      <c r="K43" s="72">
        <v>12</v>
      </c>
      <c r="L43" s="71">
        <v>12.5</v>
      </c>
    </row>
    <row r="44" spans="1:12" hidden="1" outlineLevel="1" x14ac:dyDescent="0.2">
      <c r="B44" s="39" t="s">
        <v>21</v>
      </c>
      <c r="C44" s="39" t="s">
        <v>139</v>
      </c>
      <c r="D44" s="39" t="s">
        <v>137</v>
      </c>
      <c r="E44" s="65" t="s">
        <v>0</v>
      </c>
      <c r="F44" s="71">
        <v>26</v>
      </c>
      <c r="G44" s="72">
        <v>27</v>
      </c>
      <c r="H44" s="73">
        <v>28.5</v>
      </c>
      <c r="I44" s="74">
        <v>29</v>
      </c>
      <c r="J44" s="73">
        <v>29.5</v>
      </c>
      <c r="K44" s="72">
        <v>30</v>
      </c>
      <c r="L44" s="71">
        <v>30.5</v>
      </c>
    </row>
    <row r="45" spans="1:12" hidden="1" outlineLevel="1" x14ac:dyDescent="0.2"/>
    <row r="46" spans="1:12" collapsed="1" x14ac:dyDescent="0.2">
      <c r="A46" s="59">
        <v>650</v>
      </c>
      <c r="B46" s="39" t="s">
        <v>21</v>
      </c>
      <c r="C46" s="39" t="s">
        <v>140</v>
      </c>
      <c r="D46" s="39" t="s">
        <v>137</v>
      </c>
      <c r="E46" s="154" t="s">
        <v>179</v>
      </c>
    </row>
    <row r="47" spans="1:12" hidden="1" outlineLevel="1" x14ac:dyDescent="0.2">
      <c r="B47" s="39" t="s">
        <v>21</v>
      </c>
      <c r="C47" s="39" t="s">
        <v>140</v>
      </c>
      <c r="D47" s="39" t="s">
        <v>137</v>
      </c>
      <c r="E47" s="65" t="s">
        <v>104</v>
      </c>
      <c r="F47" s="66">
        <v>0.42</v>
      </c>
      <c r="G47" s="67">
        <v>0.44500000000000001</v>
      </c>
      <c r="H47" s="68">
        <v>0.47</v>
      </c>
      <c r="I47" s="69">
        <v>0.48</v>
      </c>
      <c r="J47" s="68">
        <v>0.49</v>
      </c>
      <c r="K47" s="67">
        <v>0.51</v>
      </c>
      <c r="L47" s="66">
        <v>0.53</v>
      </c>
    </row>
    <row r="48" spans="1:12" hidden="1" outlineLevel="1" x14ac:dyDescent="0.2">
      <c r="B48" s="39" t="s">
        <v>21</v>
      </c>
      <c r="C48" s="39" t="s">
        <v>140</v>
      </c>
      <c r="D48" s="39" t="s">
        <v>137</v>
      </c>
      <c r="E48" s="65" t="s">
        <v>105</v>
      </c>
      <c r="F48" s="69"/>
      <c r="G48" s="69"/>
      <c r="H48" s="68">
        <v>1.4999999999999999E-2</v>
      </c>
      <c r="I48" s="69">
        <v>0.02</v>
      </c>
      <c r="J48" s="68">
        <v>2.5000000000000001E-2</v>
      </c>
      <c r="K48" s="67">
        <v>3.5000000000000003E-2</v>
      </c>
      <c r="L48" s="66">
        <v>0.05</v>
      </c>
    </row>
    <row r="49" spans="1:12" hidden="1" outlineLevel="1" x14ac:dyDescent="0.2">
      <c r="B49" s="39" t="s">
        <v>21</v>
      </c>
      <c r="C49" s="39" t="s">
        <v>140</v>
      </c>
      <c r="D49" s="39" t="s">
        <v>137</v>
      </c>
      <c r="E49" s="65" t="s">
        <v>106</v>
      </c>
      <c r="F49" s="69"/>
      <c r="G49" s="69"/>
      <c r="H49" s="68">
        <v>0.155</v>
      </c>
      <c r="I49" s="69">
        <v>0.16</v>
      </c>
      <c r="J49" s="68">
        <v>0.17</v>
      </c>
      <c r="K49" s="67">
        <v>0.19500000000000001</v>
      </c>
      <c r="L49" s="66">
        <v>0.21</v>
      </c>
    </row>
    <row r="50" spans="1:12" hidden="1" outlineLevel="1" x14ac:dyDescent="0.2">
      <c r="B50" s="39" t="s">
        <v>21</v>
      </c>
      <c r="C50" s="39" t="s">
        <v>140</v>
      </c>
      <c r="D50" s="39" t="s">
        <v>137</v>
      </c>
      <c r="E50" s="65" t="s">
        <v>107</v>
      </c>
      <c r="F50" s="69"/>
      <c r="G50" s="69"/>
      <c r="H50" s="69"/>
      <c r="I50" s="69">
        <v>4.4999999999999998E-2</v>
      </c>
      <c r="J50" s="69"/>
      <c r="K50" s="67">
        <v>0.06</v>
      </c>
      <c r="L50" s="66">
        <v>7.0000000000000007E-2</v>
      </c>
    </row>
    <row r="51" spans="1:12" hidden="1" outlineLevel="1" x14ac:dyDescent="0.2">
      <c r="B51" s="39" t="s">
        <v>21</v>
      </c>
      <c r="C51" s="39" t="s">
        <v>140</v>
      </c>
      <c r="D51" s="39" t="s">
        <v>137</v>
      </c>
      <c r="E51" s="65" t="s">
        <v>108</v>
      </c>
      <c r="F51" s="69"/>
      <c r="G51" s="69"/>
      <c r="H51" s="69"/>
      <c r="I51" s="69">
        <v>3.5000000000000003E-2</v>
      </c>
      <c r="J51" s="69"/>
      <c r="K51" s="67">
        <v>0.05</v>
      </c>
      <c r="L51" s="66">
        <v>0.06</v>
      </c>
    </row>
    <row r="52" spans="1:12" hidden="1" outlineLevel="1" x14ac:dyDescent="0.2">
      <c r="B52" s="39" t="s">
        <v>21</v>
      </c>
      <c r="C52" s="39" t="s">
        <v>140</v>
      </c>
      <c r="D52" s="39" t="s">
        <v>137</v>
      </c>
      <c r="E52" s="65" t="s">
        <v>109</v>
      </c>
      <c r="F52" s="69"/>
      <c r="G52" s="69"/>
      <c r="H52" s="69"/>
      <c r="I52" s="69">
        <v>0.05</v>
      </c>
      <c r="J52" s="69"/>
      <c r="K52" s="67">
        <v>0.06</v>
      </c>
      <c r="L52" s="66">
        <v>7.0000000000000007E-2</v>
      </c>
    </row>
    <row r="53" spans="1:12" hidden="1" outlineLevel="1" x14ac:dyDescent="0.2">
      <c r="B53" s="39" t="s">
        <v>21</v>
      </c>
      <c r="C53" s="39" t="s">
        <v>140</v>
      </c>
      <c r="D53" s="39" t="s">
        <v>137</v>
      </c>
      <c r="E53" s="65" t="s">
        <v>110</v>
      </c>
      <c r="F53" s="66">
        <v>0.03</v>
      </c>
      <c r="G53" s="67">
        <v>0.04</v>
      </c>
      <c r="H53" s="68">
        <v>4.4999999999999998E-2</v>
      </c>
      <c r="I53" s="69">
        <v>0.05</v>
      </c>
      <c r="J53" s="68">
        <v>5.5E-2</v>
      </c>
      <c r="K53" s="69"/>
      <c r="L53" s="69"/>
    </row>
    <row r="54" spans="1:12" hidden="1" outlineLevel="1" x14ac:dyDescent="0.2">
      <c r="B54" s="39" t="s">
        <v>21</v>
      </c>
      <c r="C54" s="39" t="s">
        <v>140</v>
      </c>
      <c r="D54" s="39" t="s">
        <v>137</v>
      </c>
      <c r="E54" s="70" t="s">
        <v>111</v>
      </c>
      <c r="F54" s="69"/>
      <c r="G54" s="69"/>
      <c r="H54" s="69"/>
      <c r="I54" s="69">
        <v>0.01</v>
      </c>
      <c r="J54" s="69"/>
      <c r="K54" s="67">
        <v>1.4999999999999999E-2</v>
      </c>
      <c r="L54" s="66">
        <v>0.02</v>
      </c>
    </row>
    <row r="55" spans="1:12" hidden="1" outlineLevel="1" x14ac:dyDescent="0.2">
      <c r="B55" s="39" t="s">
        <v>21</v>
      </c>
      <c r="C55" s="39" t="s">
        <v>140</v>
      </c>
      <c r="D55" s="39" t="s">
        <v>137</v>
      </c>
      <c r="E55" s="70" t="s">
        <v>34</v>
      </c>
      <c r="F55" s="69"/>
      <c r="G55" s="69"/>
      <c r="H55" s="68">
        <v>0.06</v>
      </c>
      <c r="I55" s="69">
        <v>7.0000000000000007E-2</v>
      </c>
      <c r="J55" s="68">
        <v>7.4999999999999997E-2</v>
      </c>
      <c r="K55" s="67">
        <v>0.09</v>
      </c>
      <c r="L55" s="66">
        <v>0.1</v>
      </c>
    </row>
    <row r="56" spans="1:12" hidden="1" outlineLevel="1" x14ac:dyDescent="0.2">
      <c r="B56" s="39" t="s">
        <v>21</v>
      </c>
      <c r="C56" s="39" t="s">
        <v>140</v>
      </c>
      <c r="D56" s="39" t="s">
        <v>137</v>
      </c>
      <c r="E56" s="70" t="s">
        <v>4</v>
      </c>
      <c r="F56" s="71">
        <v>20.5</v>
      </c>
      <c r="G56" s="72">
        <v>21.5</v>
      </c>
      <c r="H56" s="73">
        <v>22.5</v>
      </c>
      <c r="I56" s="74">
        <v>23</v>
      </c>
      <c r="J56" s="73">
        <v>24</v>
      </c>
      <c r="K56" s="72">
        <v>25</v>
      </c>
      <c r="L56" s="71">
        <v>26.5</v>
      </c>
    </row>
    <row r="57" spans="1:12" hidden="1" outlineLevel="1" x14ac:dyDescent="0.2">
      <c r="B57" s="39" t="s">
        <v>21</v>
      </c>
      <c r="C57" s="39" t="s">
        <v>140</v>
      </c>
      <c r="D57" s="39" t="s">
        <v>137</v>
      </c>
      <c r="E57" s="70" t="s">
        <v>14</v>
      </c>
      <c r="F57" s="71">
        <v>9.5</v>
      </c>
      <c r="G57" s="72">
        <v>10</v>
      </c>
      <c r="H57" s="73">
        <v>11</v>
      </c>
      <c r="I57" s="74">
        <v>11</v>
      </c>
      <c r="J57" s="73">
        <v>11.5</v>
      </c>
      <c r="K57" s="72">
        <v>12.5</v>
      </c>
      <c r="L57" s="71">
        <v>13</v>
      </c>
    </row>
    <row r="58" spans="1:12" hidden="1" outlineLevel="1" x14ac:dyDescent="0.2">
      <c r="B58" s="39" t="s">
        <v>21</v>
      </c>
      <c r="C58" s="39" t="s">
        <v>140</v>
      </c>
      <c r="D58" s="39" t="s">
        <v>137</v>
      </c>
      <c r="E58" s="70" t="s">
        <v>0</v>
      </c>
      <c r="F58" s="71">
        <v>28</v>
      </c>
      <c r="G58" s="72">
        <v>28.5</v>
      </c>
      <c r="H58" s="73">
        <v>29</v>
      </c>
      <c r="I58" s="74">
        <v>29.5</v>
      </c>
      <c r="J58" s="73">
        <v>29.5</v>
      </c>
      <c r="K58" s="72">
        <v>30</v>
      </c>
      <c r="L58" s="71">
        <v>30.5</v>
      </c>
    </row>
    <row r="59" spans="1:12" hidden="1" outlineLevel="1" x14ac:dyDescent="0.2"/>
    <row r="60" spans="1:12" collapsed="1" x14ac:dyDescent="0.2">
      <c r="A60" s="59">
        <v>880</v>
      </c>
      <c r="B60" s="39" t="s">
        <v>21</v>
      </c>
      <c r="C60" s="39" t="s">
        <v>136</v>
      </c>
      <c r="D60" s="39" t="s">
        <v>141</v>
      </c>
      <c r="E60" s="154" t="s">
        <v>180</v>
      </c>
    </row>
    <row r="61" spans="1:12" hidden="1" outlineLevel="1" x14ac:dyDescent="0.2">
      <c r="B61" s="39" t="s">
        <v>21</v>
      </c>
      <c r="C61" s="39" t="s">
        <v>136</v>
      </c>
      <c r="D61" s="39" t="s">
        <v>141</v>
      </c>
      <c r="E61" s="65" t="s">
        <v>104</v>
      </c>
      <c r="F61" s="66">
        <v>0.38</v>
      </c>
      <c r="G61" s="67">
        <v>0.41499999999999998</v>
      </c>
      <c r="H61" s="68">
        <v>0.44500000000000001</v>
      </c>
      <c r="I61" s="69">
        <v>0.45500000000000002</v>
      </c>
      <c r="J61" s="68">
        <v>0.47499999999999998</v>
      </c>
      <c r="K61" s="67">
        <v>0.51</v>
      </c>
      <c r="L61" s="66">
        <v>0.53500000000000003</v>
      </c>
    </row>
    <row r="62" spans="1:12" hidden="1" outlineLevel="1" x14ac:dyDescent="0.2">
      <c r="B62" s="39" t="s">
        <v>21</v>
      </c>
      <c r="C62" s="39" t="s">
        <v>136</v>
      </c>
      <c r="D62" s="39" t="s">
        <v>141</v>
      </c>
      <c r="E62" s="65" t="s">
        <v>105</v>
      </c>
      <c r="F62" s="69"/>
      <c r="G62" s="69"/>
      <c r="H62" s="68">
        <v>0.02</v>
      </c>
      <c r="I62" s="69">
        <v>2.5000000000000001E-2</v>
      </c>
      <c r="J62" s="68">
        <v>0.03</v>
      </c>
      <c r="K62" s="67">
        <v>4.4999999999999998E-2</v>
      </c>
      <c r="L62" s="66">
        <v>6.5000000000000002E-2</v>
      </c>
    </row>
    <row r="63" spans="1:12" hidden="1" outlineLevel="1" x14ac:dyDescent="0.2">
      <c r="B63" s="39" t="s">
        <v>21</v>
      </c>
      <c r="C63" s="39" t="s">
        <v>136</v>
      </c>
      <c r="D63" s="39" t="s">
        <v>141</v>
      </c>
      <c r="E63" s="65" t="s">
        <v>106</v>
      </c>
      <c r="F63" s="69"/>
      <c r="G63" s="69"/>
      <c r="H63" s="68">
        <v>0.13</v>
      </c>
      <c r="I63" s="69">
        <v>0.14499999999999999</v>
      </c>
      <c r="J63" s="68">
        <v>0.155</v>
      </c>
      <c r="K63" s="67">
        <v>0.18</v>
      </c>
      <c r="L63" s="66">
        <v>0.2</v>
      </c>
    </row>
    <row r="64" spans="1:12" hidden="1" outlineLevel="1" x14ac:dyDescent="0.2">
      <c r="B64" s="39" t="s">
        <v>21</v>
      </c>
      <c r="C64" s="39" t="s">
        <v>136</v>
      </c>
      <c r="D64" s="39" t="s">
        <v>141</v>
      </c>
      <c r="E64" s="65" t="s">
        <v>107</v>
      </c>
      <c r="F64" s="69"/>
      <c r="G64" s="69"/>
      <c r="H64" s="69"/>
      <c r="I64" s="69">
        <v>5.5E-2</v>
      </c>
      <c r="J64" s="69"/>
      <c r="K64" s="67">
        <v>7.0000000000000007E-2</v>
      </c>
      <c r="L64" s="66">
        <v>8.5000000000000006E-2</v>
      </c>
    </row>
    <row r="65" spans="1:12" hidden="1" outlineLevel="1" x14ac:dyDescent="0.2">
      <c r="B65" s="39" t="s">
        <v>21</v>
      </c>
      <c r="C65" s="39" t="s">
        <v>136</v>
      </c>
      <c r="D65" s="39" t="s">
        <v>141</v>
      </c>
      <c r="E65" s="65" t="s">
        <v>108</v>
      </c>
      <c r="F65" s="69"/>
      <c r="G65" s="69"/>
      <c r="H65" s="69"/>
      <c r="I65" s="69">
        <v>3.5000000000000003E-2</v>
      </c>
      <c r="J65" s="69"/>
      <c r="K65" s="67">
        <v>0.05</v>
      </c>
      <c r="L65" s="66">
        <v>6.5000000000000002E-2</v>
      </c>
    </row>
    <row r="66" spans="1:12" hidden="1" outlineLevel="1" x14ac:dyDescent="0.2">
      <c r="B66" s="39" t="s">
        <v>21</v>
      </c>
      <c r="C66" s="39" t="s">
        <v>136</v>
      </c>
      <c r="D66" s="39" t="s">
        <v>141</v>
      </c>
      <c r="E66" s="65" t="s">
        <v>109</v>
      </c>
      <c r="F66" s="69"/>
      <c r="G66" s="69"/>
      <c r="H66" s="69"/>
      <c r="I66" s="69">
        <v>0.05</v>
      </c>
      <c r="J66" s="69"/>
      <c r="K66" s="67">
        <v>6.5000000000000002E-2</v>
      </c>
      <c r="L66" s="66">
        <v>7.4999999999999997E-2</v>
      </c>
    </row>
    <row r="67" spans="1:12" hidden="1" outlineLevel="1" x14ac:dyDescent="0.2">
      <c r="B67" s="39" t="s">
        <v>21</v>
      </c>
      <c r="C67" s="39" t="s">
        <v>136</v>
      </c>
      <c r="D67" s="39" t="s">
        <v>141</v>
      </c>
      <c r="E67" s="65" t="s">
        <v>110</v>
      </c>
      <c r="F67" s="66">
        <v>0.03</v>
      </c>
      <c r="G67" s="67">
        <v>0.04</v>
      </c>
      <c r="H67" s="68">
        <v>0.05</v>
      </c>
      <c r="I67" s="69">
        <v>5.5E-2</v>
      </c>
      <c r="J67" s="68">
        <v>0.06</v>
      </c>
      <c r="K67" s="69"/>
      <c r="L67" s="69"/>
    </row>
    <row r="68" spans="1:12" hidden="1" outlineLevel="1" x14ac:dyDescent="0.2">
      <c r="B68" s="39" t="s">
        <v>21</v>
      </c>
      <c r="C68" s="39" t="s">
        <v>136</v>
      </c>
      <c r="D68" s="39" t="s">
        <v>141</v>
      </c>
      <c r="E68" s="65" t="s">
        <v>111</v>
      </c>
      <c r="F68" s="69"/>
      <c r="G68" s="69"/>
      <c r="H68" s="69"/>
      <c r="I68" s="69">
        <v>0.01</v>
      </c>
      <c r="J68" s="69"/>
      <c r="K68" s="67">
        <v>1.4999999999999999E-2</v>
      </c>
      <c r="L68" s="66">
        <v>0.02</v>
      </c>
    </row>
    <row r="69" spans="1:12" hidden="1" outlineLevel="1" x14ac:dyDescent="0.2">
      <c r="B69" s="39" t="s">
        <v>21</v>
      </c>
      <c r="C69" s="39" t="s">
        <v>136</v>
      </c>
      <c r="D69" s="39" t="s">
        <v>141</v>
      </c>
      <c r="E69" s="65" t="s">
        <v>34</v>
      </c>
      <c r="F69" s="69"/>
      <c r="G69" s="69"/>
      <c r="H69" s="68">
        <v>0.105</v>
      </c>
      <c r="I69" s="69">
        <v>0.12</v>
      </c>
      <c r="J69" s="68">
        <v>0.13500000000000001</v>
      </c>
      <c r="K69" s="67">
        <v>0.17499999999999999</v>
      </c>
      <c r="L69" s="66">
        <v>0.20499999999999999</v>
      </c>
    </row>
    <row r="70" spans="1:12" hidden="1" outlineLevel="1" x14ac:dyDescent="0.2">
      <c r="B70" s="39" t="s">
        <v>21</v>
      </c>
      <c r="C70" s="39" t="s">
        <v>136</v>
      </c>
      <c r="D70" s="39" t="s">
        <v>141</v>
      </c>
      <c r="E70" s="65" t="s">
        <v>4</v>
      </c>
      <c r="F70" s="71">
        <v>12</v>
      </c>
      <c r="G70" s="72">
        <v>14</v>
      </c>
      <c r="H70" s="73">
        <v>16</v>
      </c>
      <c r="I70" s="74">
        <v>17</v>
      </c>
      <c r="J70" s="73">
        <v>17.5</v>
      </c>
      <c r="K70" s="72">
        <v>20</v>
      </c>
      <c r="L70" s="71">
        <v>21.5</v>
      </c>
    </row>
    <row r="71" spans="1:12" hidden="1" outlineLevel="1" x14ac:dyDescent="0.2">
      <c r="B71" s="39" t="s">
        <v>21</v>
      </c>
      <c r="C71" s="39" t="s">
        <v>136</v>
      </c>
      <c r="D71" s="39" t="s">
        <v>141</v>
      </c>
      <c r="E71" s="65" t="s">
        <v>14</v>
      </c>
      <c r="F71" s="71">
        <v>5.5</v>
      </c>
      <c r="G71" s="72">
        <v>6.5</v>
      </c>
      <c r="H71" s="73">
        <v>7.5</v>
      </c>
      <c r="I71" s="74">
        <v>8</v>
      </c>
      <c r="J71" s="73">
        <v>8.5</v>
      </c>
      <c r="K71" s="72">
        <v>9.5</v>
      </c>
      <c r="L71" s="71">
        <v>10.5</v>
      </c>
    </row>
    <row r="72" spans="1:12" hidden="1" outlineLevel="1" x14ac:dyDescent="0.2">
      <c r="B72" s="39" t="s">
        <v>21</v>
      </c>
      <c r="C72" s="39" t="s">
        <v>136</v>
      </c>
      <c r="D72" s="39" t="s">
        <v>141</v>
      </c>
      <c r="E72" s="65" t="s">
        <v>0</v>
      </c>
      <c r="F72" s="71">
        <v>14.5</v>
      </c>
      <c r="G72" s="72">
        <v>17</v>
      </c>
      <c r="H72" s="73">
        <v>20</v>
      </c>
      <c r="I72" s="74">
        <v>21.5</v>
      </c>
      <c r="J72" s="73">
        <v>22.5</v>
      </c>
      <c r="K72" s="72">
        <v>24.5</v>
      </c>
      <c r="L72" s="71">
        <v>26</v>
      </c>
    </row>
    <row r="73" spans="1:12" hidden="1" outlineLevel="1" x14ac:dyDescent="0.2"/>
    <row r="74" spans="1:12" collapsed="1" x14ac:dyDescent="0.2">
      <c r="A74" s="59">
        <v>994</v>
      </c>
      <c r="B74" s="39" t="s">
        <v>21</v>
      </c>
      <c r="C74" s="39" t="s">
        <v>138</v>
      </c>
      <c r="D74" s="39" t="s">
        <v>141</v>
      </c>
      <c r="E74" s="154" t="s">
        <v>181</v>
      </c>
    </row>
    <row r="75" spans="1:12" hidden="1" outlineLevel="1" x14ac:dyDescent="0.2">
      <c r="B75" s="39" t="s">
        <v>21</v>
      </c>
      <c r="C75" s="39" t="s">
        <v>138</v>
      </c>
      <c r="D75" s="39" t="s">
        <v>141</v>
      </c>
      <c r="E75" s="65" t="s">
        <v>104</v>
      </c>
      <c r="F75" s="66">
        <v>0.38500000000000001</v>
      </c>
      <c r="G75" s="67">
        <v>0.41</v>
      </c>
      <c r="H75" s="68">
        <v>0.44500000000000001</v>
      </c>
      <c r="I75" s="69">
        <v>0.45500000000000002</v>
      </c>
      <c r="J75" s="68">
        <v>0.47</v>
      </c>
      <c r="K75" s="67">
        <v>0.495</v>
      </c>
      <c r="L75" s="66">
        <v>0.52500000000000002</v>
      </c>
    </row>
    <row r="76" spans="1:12" hidden="1" outlineLevel="1" x14ac:dyDescent="0.2">
      <c r="B76" s="39" t="s">
        <v>21</v>
      </c>
      <c r="C76" s="39" t="s">
        <v>138</v>
      </c>
      <c r="D76" s="39" t="s">
        <v>141</v>
      </c>
      <c r="E76" s="65" t="s">
        <v>105</v>
      </c>
      <c r="F76" s="69"/>
      <c r="G76" s="69"/>
      <c r="H76" s="68">
        <v>0.02</v>
      </c>
      <c r="I76" s="69">
        <v>2.5000000000000001E-2</v>
      </c>
      <c r="J76" s="68">
        <v>0.03</v>
      </c>
      <c r="K76" s="67">
        <v>0.04</v>
      </c>
      <c r="L76" s="66">
        <v>5.5E-2</v>
      </c>
    </row>
    <row r="77" spans="1:12" hidden="1" outlineLevel="1" x14ac:dyDescent="0.2">
      <c r="B77" s="39" t="s">
        <v>21</v>
      </c>
      <c r="C77" s="39" t="s">
        <v>138</v>
      </c>
      <c r="D77" s="39" t="s">
        <v>141</v>
      </c>
      <c r="E77" s="65" t="s">
        <v>106</v>
      </c>
      <c r="F77" s="69"/>
      <c r="G77" s="69"/>
      <c r="H77" s="68">
        <v>0.15</v>
      </c>
      <c r="I77" s="69">
        <v>0.16</v>
      </c>
      <c r="J77" s="68">
        <v>0.17</v>
      </c>
      <c r="K77" s="67">
        <v>0.19500000000000001</v>
      </c>
      <c r="L77" s="66">
        <v>0.22</v>
      </c>
    </row>
    <row r="78" spans="1:12" hidden="1" outlineLevel="1" x14ac:dyDescent="0.2">
      <c r="B78" s="39" t="s">
        <v>21</v>
      </c>
      <c r="C78" s="39" t="s">
        <v>138</v>
      </c>
      <c r="D78" s="39" t="s">
        <v>141</v>
      </c>
      <c r="E78" s="65" t="s">
        <v>107</v>
      </c>
      <c r="F78" s="69"/>
      <c r="G78" s="69"/>
      <c r="H78" s="69"/>
      <c r="I78" s="69">
        <v>0.05</v>
      </c>
      <c r="J78" s="69"/>
      <c r="K78" s="67">
        <v>6.5000000000000002E-2</v>
      </c>
      <c r="L78" s="66">
        <v>7.4999999999999997E-2</v>
      </c>
    </row>
    <row r="79" spans="1:12" hidden="1" outlineLevel="1" x14ac:dyDescent="0.2">
      <c r="B79" s="39" t="s">
        <v>21</v>
      </c>
      <c r="C79" s="39" t="s">
        <v>138</v>
      </c>
      <c r="D79" s="39" t="s">
        <v>141</v>
      </c>
      <c r="E79" s="65" t="s">
        <v>108</v>
      </c>
      <c r="F79" s="69"/>
      <c r="G79" s="69"/>
      <c r="H79" s="69"/>
      <c r="I79" s="69">
        <v>3.5000000000000003E-2</v>
      </c>
      <c r="J79" s="69"/>
      <c r="K79" s="67">
        <v>0.05</v>
      </c>
      <c r="L79" s="66">
        <v>6.5000000000000002E-2</v>
      </c>
    </row>
    <row r="80" spans="1:12" hidden="1" outlineLevel="1" x14ac:dyDescent="0.2">
      <c r="B80" s="39" t="s">
        <v>21</v>
      </c>
      <c r="C80" s="39" t="s">
        <v>138</v>
      </c>
      <c r="D80" s="39" t="s">
        <v>141</v>
      </c>
      <c r="E80" s="65" t="s">
        <v>109</v>
      </c>
      <c r="F80" s="69"/>
      <c r="G80" s="69"/>
      <c r="H80" s="69"/>
      <c r="I80" s="69">
        <v>0.05</v>
      </c>
      <c r="J80" s="69"/>
      <c r="K80" s="67">
        <v>6.5000000000000002E-2</v>
      </c>
      <c r="L80" s="66">
        <v>7.4999999999999997E-2</v>
      </c>
    </row>
    <row r="81" spans="1:12" hidden="1" outlineLevel="1" x14ac:dyDescent="0.2">
      <c r="B81" s="39" t="s">
        <v>21</v>
      </c>
      <c r="C81" s="39" t="s">
        <v>138</v>
      </c>
      <c r="D81" s="39" t="s">
        <v>141</v>
      </c>
      <c r="E81" s="65" t="s">
        <v>110</v>
      </c>
      <c r="F81" s="66">
        <v>0.03</v>
      </c>
      <c r="G81" s="67">
        <v>3.5000000000000003E-2</v>
      </c>
      <c r="H81" s="68">
        <v>4.4999999999999998E-2</v>
      </c>
      <c r="I81" s="69">
        <v>0.05</v>
      </c>
      <c r="J81" s="68">
        <v>5.5E-2</v>
      </c>
      <c r="K81" s="69"/>
      <c r="L81" s="69"/>
    </row>
    <row r="82" spans="1:12" hidden="1" outlineLevel="1" x14ac:dyDescent="0.2">
      <c r="B82" s="39" t="s">
        <v>21</v>
      </c>
      <c r="C82" s="39" t="s">
        <v>138</v>
      </c>
      <c r="D82" s="39" t="s">
        <v>141</v>
      </c>
      <c r="E82" s="65" t="s">
        <v>111</v>
      </c>
      <c r="F82" s="69"/>
      <c r="G82" s="69"/>
      <c r="H82" s="69"/>
      <c r="I82" s="69">
        <v>0.01</v>
      </c>
      <c r="J82" s="69"/>
      <c r="K82" s="67">
        <v>1.4999999999999999E-2</v>
      </c>
      <c r="L82" s="66">
        <v>0.02</v>
      </c>
    </row>
    <row r="83" spans="1:12" hidden="1" outlineLevel="1" x14ac:dyDescent="0.2">
      <c r="B83" s="39" t="s">
        <v>21</v>
      </c>
      <c r="C83" s="39" t="s">
        <v>138</v>
      </c>
      <c r="D83" s="39" t="s">
        <v>141</v>
      </c>
      <c r="E83" s="65" t="s">
        <v>34</v>
      </c>
      <c r="F83" s="69"/>
      <c r="G83" s="69"/>
      <c r="H83" s="68">
        <v>9.5000000000000001E-2</v>
      </c>
      <c r="I83" s="69">
        <v>0.11</v>
      </c>
      <c r="J83" s="68">
        <v>0.12</v>
      </c>
      <c r="K83" s="67">
        <v>0.14000000000000001</v>
      </c>
      <c r="L83" s="66">
        <v>0.16500000000000001</v>
      </c>
    </row>
    <row r="84" spans="1:12" hidden="1" outlineLevel="1" x14ac:dyDescent="0.2">
      <c r="B84" s="39" t="s">
        <v>21</v>
      </c>
      <c r="C84" s="39" t="s">
        <v>138</v>
      </c>
      <c r="D84" s="39" t="s">
        <v>141</v>
      </c>
      <c r="E84" s="65" t="s">
        <v>4</v>
      </c>
      <c r="F84" s="71">
        <v>16.5</v>
      </c>
      <c r="G84" s="72">
        <v>17.5</v>
      </c>
      <c r="H84" s="73">
        <v>19</v>
      </c>
      <c r="I84" s="74">
        <v>20</v>
      </c>
      <c r="J84" s="73">
        <v>20.5</v>
      </c>
      <c r="K84" s="72">
        <v>22.5</v>
      </c>
      <c r="L84" s="71">
        <v>24</v>
      </c>
    </row>
    <row r="85" spans="1:12" hidden="1" outlineLevel="1" x14ac:dyDescent="0.2">
      <c r="B85" s="39" t="s">
        <v>21</v>
      </c>
      <c r="C85" s="39" t="s">
        <v>138</v>
      </c>
      <c r="D85" s="39" t="s">
        <v>141</v>
      </c>
      <c r="E85" s="65" t="s">
        <v>14</v>
      </c>
      <c r="F85" s="71">
        <v>7</v>
      </c>
      <c r="G85" s="72">
        <v>8</v>
      </c>
      <c r="H85" s="73">
        <v>8.5</v>
      </c>
      <c r="I85" s="74">
        <v>9</v>
      </c>
      <c r="J85" s="73">
        <v>9.5</v>
      </c>
      <c r="K85" s="72">
        <v>10.5</v>
      </c>
      <c r="L85" s="71">
        <v>11.5</v>
      </c>
    </row>
    <row r="86" spans="1:12" hidden="1" outlineLevel="1" x14ac:dyDescent="0.2">
      <c r="B86" s="39" t="s">
        <v>21</v>
      </c>
      <c r="C86" s="39" t="s">
        <v>138</v>
      </c>
      <c r="D86" s="39" t="s">
        <v>141</v>
      </c>
      <c r="E86" s="65" t="s">
        <v>0</v>
      </c>
      <c r="F86" s="71">
        <v>21.5</v>
      </c>
      <c r="G86" s="72">
        <v>23</v>
      </c>
      <c r="H86" s="73">
        <v>24.5</v>
      </c>
      <c r="I86" s="74">
        <v>25.5</v>
      </c>
      <c r="J86" s="73">
        <v>26.5</v>
      </c>
      <c r="K86" s="72">
        <v>28</v>
      </c>
      <c r="L86" s="71">
        <v>29</v>
      </c>
    </row>
    <row r="87" spans="1:12" hidden="1" outlineLevel="1" x14ac:dyDescent="0.2"/>
    <row r="88" spans="1:12" collapsed="1" x14ac:dyDescent="0.2">
      <c r="A88" s="75">
        <v>3735</v>
      </c>
      <c r="B88" s="39" t="s">
        <v>21</v>
      </c>
      <c r="C88" s="39" t="s">
        <v>139</v>
      </c>
      <c r="D88" s="39" t="s">
        <v>141</v>
      </c>
      <c r="E88" s="154" t="s">
        <v>182</v>
      </c>
    </row>
    <row r="89" spans="1:12" hidden="1" outlineLevel="1" x14ac:dyDescent="0.2">
      <c r="B89" s="39" t="s">
        <v>21</v>
      </c>
      <c r="C89" s="39" t="s">
        <v>139</v>
      </c>
      <c r="D89" s="39" t="s">
        <v>141</v>
      </c>
      <c r="E89" s="65" t="s">
        <v>104</v>
      </c>
      <c r="F89" s="66">
        <v>0.39</v>
      </c>
      <c r="G89" s="67">
        <v>0.41499999999999998</v>
      </c>
      <c r="H89" s="68">
        <v>0.44</v>
      </c>
      <c r="I89" s="69">
        <v>0.45500000000000002</v>
      </c>
      <c r="J89" s="68">
        <v>0.46500000000000002</v>
      </c>
      <c r="K89" s="67">
        <v>0.495</v>
      </c>
      <c r="L89" s="66">
        <v>0.51500000000000001</v>
      </c>
    </row>
    <row r="90" spans="1:12" hidden="1" outlineLevel="1" x14ac:dyDescent="0.2">
      <c r="B90" s="39" t="s">
        <v>21</v>
      </c>
      <c r="C90" s="39" t="s">
        <v>139</v>
      </c>
      <c r="D90" s="39" t="s">
        <v>141</v>
      </c>
      <c r="E90" s="65" t="s">
        <v>105</v>
      </c>
      <c r="F90" s="69"/>
      <c r="G90" s="69"/>
      <c r="H90" s="68">
        <v>0.02</v>
      </c>
      <c r="I90" s="69">
        <v>2.5000000000000001E-2</v>
      </c>
      <c r="J90" s="68">
        <v>0.03</v>
      </c>
      <c r="K90" s="67">
        <v>0.04</v>
      </c>
      <c r="L90" s="66">
        <v>5.5E-2</v>
      </c>
    </row>
    <row r="91" spans="1:12" hidden="1" outlineLevel="1" x14ac:dyDescent="0.2">
      <c r="B91" s="39" t="s">
        <v>21</v>
      </c>
      <c r="C91" s="39" t="s">
        <v>139</v>
      </c>
      <c r="D91" s="39" t="s">
        <v>141</v>
      </c>
      <c r="E91" s="65" t="s">
        <v>106</v>
      </c>
      <c r="F91" s="69"/>
      <c r="G91" s="69"/>
      <c r="H91" s="68">
        <v>0.16500000000000001</v>
      </c>
      <c r="I91" s="69">
        <v>0.17499999999999999</v>
      </c>
      <c r="J91" s="68">
        <v>0.185</v>
      </c>
      <c r="K91" s="67">
        <v>0.21</v>
      </c>
      <c r="L91" s="66">
        <v>0.23499999999999999</v>
      </c>
    </row>
    <row r="92" spans="1:12" hidden="1" outlineLevel="1" x14ac:dyDescent="0.2">
      <c r="B92" s="39" t="s">
        <v>21</v>
      </c>
      <c r="C92" s="39" t="s">
        <v>139</v>
      </c>
      <c r="D92" s="39" t="s">
        <v>141</v>
      </c>
      <c r="E92" s="65" t="s">
        <v>107</v>
      </c>
      <c r="F92" s="69"/>
      <c r="G92" s="69"/>
      <c r="H92" s="69"/>
      <c r="I92" s="69">
        <v>4.4999999999999998E-2</v>
      </c>
      <c r="J92" s="69"/>
      <c r="K92" s="67">
        <v>0.06</v>
      </c>
      <c r="L92" s="66">
        <v>7.0000000000000007E-2</v>
      </c>
    </row>
    <row r="93" spans="1:12" hidden="1" outlineLevel="1" x14ac:dyDescent="0.2">
      <c r="B93" s="39" t="s">
        <v>21</v>
      </c>
      <c r="C93" s="39" t="s">
        <v>139</v>
      </c>
      <c r="D93" s="39" t="s">
        <v>141</v>
      </c>
      <c r="E93" s="65" t="s">
        <v>108</v>
      </c>
      <c r="F93" s="69"/>
      <c r="G93" s="69"/>
      <c r="H93" s="69"/>
      <c r="I93" s="69">
        <v>3.5000000000000003E-2</v>
      </c>
      <c r="J93" s="69"/>
      <c r="K93" s="67">
        <v>0.05</v>
      </c>
      <c r="L93" s="66">
        <v>0.06</v>
      </c>
    </row>
    <row r="94" spans="1:12" hidden="1" outlineLevel="1" x14ac:dyDescent="0.2">
      <c r="B94" s="39" t="s">
        <v>21</v>
      </c>
      <c r="C94" s="39" t="s">
        <v>139</v>
      </c>
      <c r="D94" s="39" t="s">
        <v>141</v>
      </c>
      <c r="E94" s="65" t="s">
        <v>109</v>
      </c>
      <c r="F94" s="69"/>
      <c r="G94" s="69"/>
      <c r="H94" s="69"/>
      <c r="I94" s="69">
        <v>0.05</v>
      </c>
      <c r="J94" s="69"/>
      <c r="K94" s="67">
        <v>6.5000000000000002E-2</v>
      </c>
      <c r="L94" s="66">
        <v>7.4999999999999997E-2</v>
      </c>
    </row>
    <row r="95" spans="1:12" hidden="1" outlineLevel="1" x14ac:dyDescent="0.2">
      <c r="B95" s="39" t="s">
        <v>21</v>
      </c>
      <c r="C95" s="39" t="s">
        <v>139</v>
      </c>
      <c r="D95" s="39" t="s">
        <v>141</v>
      </c>
      <c r="E95" s="65" t="s">
        <v>110</v>
      </c>
      <c r="F95" s="66">
        <v>0.03</v>
      </c>
      <c r="G95" s="67">
        <v>3.5000000000000003E-2</v>
      </c>
      <c r="H95" s="68">
        <v>4.4999999999999998E-2</v>
      </c>
      <c r="I95" s="69">
        <v>0.05</v>
      </c>
      <c r="J95" s="68">
        <v>5.5E-2</v>
      </c>
      <c r="K95" s="69"/>
      <c r="L95" s="69"/>
    </row>
    <row r="96" spans="1:12" hidden="1" outlineLevel="1" x14ac:dyDescent="0.2">
      <c r="B96" s="39" t="s">
        <v>21</v>
      </c>
      <c r="C96" s="39" t="s">
        <v>139</v>
      </c>
      <c r="D96" s="39" t="s">
        <v>141</v>
      </c>
      <c r="E96" s="70" t="s">
        <v>111</v>
      </c>
      <c r="F96" s="69"/>
      <c r="G96" s="69"/>
      <c r="H96" s="69"/>
      <c r="I96" s="69">
        <v>0.01</v>
      </c>
      <c r="J96" s="69"/>
      <c r="K96" s="67">
        <v>1.4999999999999999E-2</v>
      </c>
      <c r="L96" s="66">
        <v>0.02</v>
      </c>
    </row>
    <row r="97" spans="1:12" hidden="1" outlineLevel="1" x14ac:dyDescent="0.2">
      <c r="B97" s="39" t="s">
        <v>21</v>
      </c>
      <c r="C97" s="39" t="s">
        <v>139</v>
      </c>
      <c r="D97" s="39" t="s">
        <v>141</v>
      </c>
      <c r="E97" s="65" t="s">
        <v>34</v>
      </c>
      <c r="F97" s="69"/>
      <c r="G97" s="69"/>
      <c r="H97" s="68">
        <v>0.08</v>
      </c>
      <c r="I97" s="69">
        <v>8.5000000000000006E-2</v>
      </c>
      <c r="J97" s="68">
        <v>9.5000000000000001E-2</v>
      </c>
      <c r="K97" s="67">
        <v>0.11</v>
      </c>
      <c r="L97" s="66">
        <v>0.13</v>
      </c>
    </row>
    <row r="98" spans="1:12" hidden="1" outlineLevel="1" x14ac:dyDescent="0.2">
      <c r="B98" s="39" t="s">
        <v>21</v>
      </c>
      <c r="C98" s="39" t="s">
        <v>139</v>
      </c>
      <c r="D98" s="39" t="s">
        <v>141</v>
      </c>
      <c r="E98" s="65" t="s">
        <v>4</v>
      </c>
      <c r="F98" s="71">
        <v>18</v>
      </c>
      <c r="G98" s="72">
        <v>19.5</v>
      </c>
      <c r="H98" s="73">
        <v>21</v>
      </c>
      <c r="I98" s="74">
        <v>21.5</v>
      </c>
      <c r="J98" s="73">
        <v>22.5</v>
      </c>
      <c r="K98" s="72">
        <v>24</v>
      </c>
      <c r="L98" s="71">
        <v>25.5</v>
      </c>
    </row>
    <row r="99" spans="1:12" hidden="1" outlineLevel="1" x14ac:dyDescent="0.2">
      <c r="B99" s="39" t="s">
        <v>21</v>
      </c>
      <c r="C99" s="39" t="s">
        <v>139</v>
      </c>
      <c r="D99" s="39" t="s">
        <v>141</v>
      </c>
      <c r="E99" s="65" t="s">
        <v>14</v>
      </c>
      <c r="F99" s="71">
        <v>8</v>
      </c>
      <c r="G99" s="72">
        <v>8.5</v>
      </c>
      <c r="H99" s="73">
        <v>9.5</v>
      </c>
      <c r="I99" s="74">
        <v>9.5</v>
      </c>
      <c r="J99" s="73">
        <v>10</v>
      </c>
      <c r="K99" s="72">
        <v>11</v>
      </c>
      <c r="L99" s="71">
        <v>11.5</v>
      </c>
    </row>
    <row r="100" spans="1:12" hidden="1" outlineLevel="1" x14ac:dyDescent="0.2">
      <c r="B100" s="39" t="s">
        <v>21</v>
      </c>
      <c r="C100" s="39" t="s">
        <v>139</v>
      </c>
      <c r="D100" s="39" t="s">
        <v>141</v>
      </c>
      <c r="E100" s="65" t="s">
        <v>0</v>
      </c>
      <c r="F100" s="71">
        <v>24.5</v>
      </c>
      <c r="G100" s="72">
        <v>26</v>
      </c>
      <c r="H100" s="73">
        <v>27.5</v>
      </c>
      <c r="I100" s="74">
        <v>28</v>
      </c>
      <c r="J100" s="73">
        <v>28.5</v>
      </c>
      <c r="K100" s="72">
        <v>29.5</v>
      </c>
      <c r="L100" s="71">
        <v>30</v>
      </c>
    </row>
    <row r="101" spans="1:12" hidden="1" outlineLevel="1" x14ac:dyDescent="0.2"/>
    <row r="102" spans="1:12" collapsed="1" x14ac:dyDescent="0.2">
      <c r="A102" s="75">
        <v>2027</v>
      </c>
      <c r="B102" s="39" t="s">
        <v>21</v>
      </c>
      <c r="C102" s="39" t="s">
        <v>140</v>
      </c>
      <c r="D102" s="39" t="s">
        <v>141</v>
      </c>
      <c r="E102" s="154" t="s">
        <v>183</v>
      </c>
    </row>
    <row r="103" spans="1:12" hidden="1" outlineLevel="1" x14ac:dyDescent="0.2">
      <c r="B103" s="39" t="s">
        <v>21</v>
      </c>
      <c r="C103" s="39" t="s">
        <v>140</v>
      </c>
      <c r="D103" s="39" t="s">
        <v>141</v>
      </c>
      <c r="E103" s="65" t="s">
        <v>104</v>
      </c>
      <c r="F103" s="66">
        <v>0.38500000000000001</v>
      </c>
      <c r="G103" s="67">
        <v>0.41</v>
      </c>
      <c r="H103" s="68">
        <v>0.44500000000000001</v>
      </c>
      <c r="I103" s="69">
        <v>0.45500000000000002</v>
      </c>
      <c r="J103" s="68">
        <v>0.47</v>
      </c>
      <c r="K103" s="67">
        <v>0.495</v>
      </c>
      <c r="L103" s="66">
        <v>0.52</v>
      </c>
    </row>
    <row r="104" spans="1:12" hidden="1" outlineLevel="1" x14ac:dyDescent="0.2">
      <c r="B104" s="39" t="s">
        <v>21</v>
      </c>
      <c r="C104" s="39" t="s">
        <v>140</v>
      </c>
      <c r="D104" s="39" t="s">
        <v>141</v>
      </c>
      <c r="E104" s="65" t="s">
        <v>105</v>
      </c>
      <c r="F104" s="69"/>
      <c r="G104" s="69"/>
      <c r="H104" s="68">
        <v>0.02</v>
      </c>
      <c r="I104" s="69">
        <v>0.02</v>
      </c>
      <c r="J104" s="68">
        <v>0.03</v>
      </c>
      <c r="K104" s="67">
        <v>0.04</v>
      </c>
      <c r="L104" s="66">
        <v>5.5E-2</v>
      </c>
    </row>
    <row r="105" spans="1:12" hidden="1" outlineLevel="1" x14ac:dyDescent="0.2">
      <c r="B105" s="39" t="s">
        <v>21</v>
      </c>
      <c r="C105" s="39" t="s">
        <v>140</v>
      </c>
      <c r="D105" s="39" t="s">
        <v>141</v>
      </c>
      <c r="E105" s="65" t="s">
        <v>106</v>
      </c>
      <c r="F105" s="69"/>
      <c r="G105" s="69"/>
      <c r="H105" s="68">
        <v>0.17499999999999999</v>
      </c>
      <c r="I105" s="69">
        <v>0.185</v>
      </c>
      <c r="J105" s="68">
        <v>0.19500000000000001</v>
      </c>
      <c r="K105" s="67">
        <v>0.22</v>
      </c>
      <c r="L105" s="66">
        <v>0.245</v>
      </c>
    </row>
    <row r="106" spans="1:12" hidden="1" outlineLevel="1" x14ac:dyDescent="0.2">
      <c r="B106" s="39" t="s">
        <v>21</v>
      </c>
      <c r="C106" s="39" t="s">
        <v>140</v>
      </c>
      <c r="D106" s="39" t="s">
        <v>141</v>
      </c>
      <c r="E106" s="65" t="s">
        <v>107</v>
      </c>
      <c r="F106" s="69"/>
      <c r="G106" s="69"/>
      <c r="H106" s="69"/>
      <c r="I106" s="69">
        <v>4.4999999999999998E-2</v>
      </c>
      <c r="J106" s="69"/>
      <c r="K106" s="67">
        <v>0.06</v>
      </c>
      <c r="L106" s="66">
        <v>6.5000000000000002E-2</v>
      </c>
    </row>
    <row r="107" spans="1:12" hidden="1" outlineLevel="1" x14ac:dyDescent="0.2">
      <c r="B107" s="39" t="s">
        <v>21</v>
      </c>
      <c r="C107" s="39" t="s">
        <v>140</v>
      </c>
      <c r="D107" s="39" t="s">
        <v>141</v>
      </c>
      <c r="E107" s="65" t="s">
        <v>108</v>
      </c>
      <c r="F107" s="69"/>
      <c r="G107" s="69"/>
      <c r="H107" s="69"/>
      <c r="I107" s="69">
        <v>3.5000000000000003E-2</v>
      </c>
      <c r="J107" s="69"/>
      <c r="K107" s="67">
        <v>0.05</v>
      </c>
      <c r="L107" s="66">
        <v>0.06</v>
      </c>
    </row>
    <row r="108" spans="1:12" hidden="1" outlineLevel="1" x14ac:dyDescent="0.2">
      <c r="B108" s="39" t="s">
        <v>21</v>
      </c>
      <c r="C108" s="39" t="s">
        <v>140</v>
      </c>
      <c r="D108" s="39" t="s">
        <v>141</v>
      </c>
      <c r="E108" s="65" t="s">
        <v>109</v>
      </c>
      <c r="F108" s="69"/>
      <c r="G108" s="69"/>
      <c r="H108" s="69"/>
      <c r="I108" s="69">
        <v>0.05</v>
      </c>
      <c r="J108" s="69"/>
      <c r="K108" s="67">
        <v>6.5000000000000002E-2</v>
      </c>
      <c r="L108" s="66">
        <v>7.4999999999999997E-2</v>
      </c>
    </row>
    <row r="109" spans="1:12" hidden="1" outlineLevel="1" x14ac:dyDescent="0.2">
      <c r="B109" s="39" t="s">
        <v>21</v>
      </c>
      <c r="C109" s="39" t="s">
        <v>140</v>
      </c>
      <c r="D109" s="39" t="s">
        <v>141</v>
      </c>
      <c r="E109" s="65" t="s">
        <v>110</v>
      </c>
      <c r="F109" s="66">
        <v>0.03</v>
      </c>
      <c r="G109" s="67">
        <v>3.5000000000000003E-2</v>
      </c>
      <c r="H109" s="68">
        <v>4.4999999999999998E-2</v>
      </c>
      <c r="I109" s="69">
        <v>4.4999999999999998E-2</v>
      </c>
      <c r="J109" s="68">
        <v>0.05</v>
      </c>
      <c r="K109" s="69"/>
      <c r="L109" s="69"/>
    </row>
    <row r="110" spans="1:12" hidden="1" outlineLevel="1" x14ac:dyDescent="0.2">
      <c r="B110" s="39" t="s">
        <v>21</v>
      </c>
      <c r="C110" s="39" t="s">
        <v>140</v>
      </c>
      <c r="D110" s="39" t="s">
        <v>141</v>
      </c>
      <c r="E110" s="70" t="s">
        <v>111</v>
      </c>
      <c r="F110" s="69"/>
      <c r="G110" s="69"/>
      <c r="H110" s="69"/>
      <c r="I110" s="69">
        <v>0.01</v>
      </c>
      <c r="J110" s="69"/>
      <c r="K110" s="67">
        <v>1.4999999999999999E-2</v>
      </c>
      <c r="L110" s="66">
        <v>0.02</v>
      </c>
    </row>
    <row r="111" spans="1:12" hidden="1" outlineLevel="1" x14ac:dyDescent="0.2">
      <c r="B111" s="39" t="s">
        <v>21</v>
      </c>
      <c r="C111" s="39" t="s">
        <v>140</v>
      </c>
      <c r="D111" s="39" t="s">
        <v>141</v>
      </c>
      <c r="E111" s="70" t="s">
        <v>34</v>
      </c>
      <c r="F111" s="69"/>
      <c r="G111" s="69"/>
      <c r="H111" s="68">
        <v>0.06</v>
      </c>
      <c r="I111" s="69">
        <v>6.5000000000000002E-2</v>
      </c>
      <c r="J111" s="68">
        <v>7.4999999999999997E-2</v>
      </c>
      <c r="K111" s="67">
        <v>0.09</v>
      </c>
      <c r="L111" s="66">
        <v>0.105</v>
      </c>
    </row>
    <row r="112" spans="1:12" hidden="1" outlineLevel="1" x14ac:dyDescent="0.2">
      <c r="B112" s="39" t="s">
        <v>21</v>
      </c>
      <c r="C112" s="39" t="s">
        <v>140</v>
      </c>
      <c r="D112" s="39" t="s">
        <v>141</v>
      </c>
      <c r="E112" s="70" t="s">
        <v>4</v>
      </c>
      <c r="F112" s="71">
        <v>18.5</v>
      </c>
      <c r="G112" s="72">
        <v>20</v>
      </c>
      <c r="H112" s="73">
        <v>21.5</v>
      </c>
      <c r="I112" s="74">
        <v>22</v>
      </c>
      <c r="J112" s="73">
        <v>22.5</v>
      </c>
      <c r="K112" s="72">
        <v>24</v>
      </c>
      <c r="L112" s="71">
        <v>25</v>
      </c>
    </row>
    <row r="113" spans="1:12" hidden="1" outlineLevel="1" x14ac:dyDescent="0.2">
      <c r="B113" s="39" t="s">
        <v>21</v>
      </c>
      <c r="C113" s="39" t="s">
        <v>140</v>
      </c>
      <c r="D113" s="39" t="s">
        <v>141</v>
      </c>
      <c r="E113" s="70" t="s">
        <v>14</v>
      </c>
      <c r="F113" s="71">
        <v>8</v>
      </c>
      <c r="G113" s="72">
        <v>8.5</v>
      </c>
      <c r="H113" s="73">
        <v>9.5</v>
      </c>
      <c r="I113" s="74">
        <v>10</v>
      </c>
      <c r="J113" s="73">
        <v>10</v>
      </c>
      <c r="K113" s="72">
        <v>11</v>
      </c>
      <c r="L113" s="71">
        <v>12</v>
      </c>
    </row>
    <row r="114" spans="1:12" hidden="1" outlineLevel="1" x14ac:dyDescent="0.2">
      <c r="B114" s="39" t="s">
        <v>21</v>
      </c>
      <c r="C114" s="39" t="s">
        <v>140</v>
      </c>
      <c r="D114" s="39" t="s">
        <v>141</v>
      </c>
      <c r="E114" s="70" t="s">
        <v>0</v>
      </c>
      <c r="F114" s="71">
        <v>26</v>
      </c>
      <c r="G114" s="72">
        <v>27</v>
      </c>
      <c r="H114" s="73">
        <v>28.5</v>
      </c>
      <c r="I114" s="74">
        <v>29</v>
      </c>
      <c r="J114" s="73">
        <v>29</v>
      </c>
      <c r="K114" s="72">
        <v>29.5</v>
      </c>
      <c r="L114" s="71">
        <v>30</v>
      </c>
    </row>
    <row r="115" spans="1:12" hidden="1" outlineLevel="1" x14ac:dyDescent="0.2"/>
    <row r="116" spans="1:12" collapsed="1" x14ac:dyDescent="0.2">
      <c r="A116" s="59">
        <v>214</v>
      </c>
      <c r="B116" s="39" t="s">
        <v>21</v>
      </c>
      <c r="C116" s="39" t="s">
        <v>136</v>
      </c>
      <c r="D116" s="39" t="s">
        <v>142</v>
      </c>
      <c r="E116" s="154" t="s">
        <v>185</v>
      </c>
    </row>
    <row r="117" spans="1:12" hidden="1" outlineLevel="1" x14ac:dyDescent="0.2">
      <c r="B117" s="39" t="s">
        <v>21</v>
      </c>
      <c r="C117" s="39" t="s">
        <v>136</v>
      </c>
      <c r="D117" s="39" t="s">
        <v>142</v>
      </c>
      <c r="E117" s="65" t="s">
        <v>104</v>
      </c>
      <c r="F117" s="66">
        <v>0.36</v>
      </c>
      <c r="G117" s="67">
        <v>0.39500000000000002</v>
      </c>
      <c r="H117" s="68">
        <v>0.42499999999999999</v>
      </c>
      <c r="I117" s="69">
        <v>0.44</v>
      </c>
      <c r="J117" s="68">
        <v>0.45500000000000002</v>
      </c>
      <c r="K117" s="67">
        <v>0.49</v>
      </c>
      <c r="L117" s="66">
        <v>0.52</v>
      </c>
    </row>
    <row r="118" spans="1:12" hidden="1" outlineLevel="1" x14ac:dyDescent="0.2">
      <c r="B118" s="39" t="s">
        <v>21</v>
      </c>
      <c r="C118" s="39" t="s">
        <v>136</v>
      </c>
      <c r="D118" s="39" t="s">
        <v>142</v>
      </c>
      <c r="E118" s="65" t="s">
        <v>105</v>
      </c>
      <c r="F118" s="69"/>
      <c r="G118" s="69"/>
      <c r="H118" s="68">
        <v>0.02</v>
      </c>
      <c r="I118" s="69">
        <v>2.5000000000000001E-2</v>
      </c>
      <c r="J118" s="68">
        <v>0.03</v>
      </c>
      <c r="K118" s="67">
        <v>5.5E-2</v>
      </c>
      <c r="L118" s="66">
        <v>0.08</v>
      </c>
    </row>
    <row r="119" spans="1:12" hidden="1" outlineLevel="1" x14ac:dyDescent="0.2">
      <c r="B119" s="39" t="s">
        <v>21</v>
      </c>
      <c r="C119" s="39" t="s">
        <v>136</v>
      </c>
      <c r="D119" s="39" t="s">
        <v>142</v>
      </c>
      <c r="E119" s="65" t="s">
        <v>106</v>
      </c>
      <c r="F119" s="69"/>
      <c r="G119" s="69"/>
      <c r="H119" s="68">
        <v>0.14000000000000001</v>
      </c>
      <c r="I119" s="69">
        <v>0.15</v>
      </c>
      <c r="J119" s="68">
        <v>0.17</v>
      </c>
      <c r="K119" s="67">
        <v>0.2</v>
      </c>
      <c r="L119" s="66">
        <v>0.23499999999999999</v>
      </c>
    </row>
    <row r="120" spans="1:12" hidden="1" outlineLevel="1" x14ac:dyDescent="0.2">
      <c r="B120" s="39" t="s">
        <v>21</v>
      </c>
      <c r="C120" s="39" t="s">
        <v>136</v>
      </c>
      <c r="D120" s="39" t="s">
        <v>142</v>
      </c>
      <c r="E120" s="65" t="s">
        <v>107</v>
      </c>
      <c r="F120" s="69"/>
      <c r="G120" s="69"/>
      <c r="H120" s="69"/>
      <c r="I120" s="69">
        <v>0.05</v>
      </c>
      <c r="J120" s="69"/>
      <c r="K120" s="67">
        <v>7.0000000000000007E-2</v>
      </c>
      <c r="L120" s="66">
        <v>8.5000000000000006E-2</v>
      </c>
    </row>
    <row r="121" spans="1:12" hidden="1" outlineLevel="1" x14ac:dyDescent="0.2">
      <c r="B121" s="39" t="s">
        <v>21</v>
      </c>
      <c r="C121" s="39" t="s">
        <v>136</v>
      </c>
      <c r="D121" s="39" t="s">
        <v>142</v>
      </c>
      <c r="E121" s="65" t="s">
        <v>108</v>
      </c>
      <c r="F121" s="69"/>
      <c r="G121" s="69"/>
      <c r="H121" s="69"/>
      <c r="I121" s="69">
        <v>3.5000000000000003E-2</v>
      </c>
      <c r="J121" s="69"/>
      <c r="K121" s="67">
        <v>0.05</v>
      </c>
      <c r="L121" s="66">
        <v>6.5000000000000002E-2</v>
      </c>
    </row>
    <row r="122" spans="1:12" hidden="1" outlineLevel="1" x14ac:dyDescent="0.2">
      <c r="B122" s="39" t="s">
        <v>21</v>
      </c>
      <c r="C122" s="39" t="s">
        <v>136</v>
      </c>
      <c r="D122" s="39" t="s">
        <v>142</v>
      </c>
      <c r="E122" s="65" t="s">
        <v>109</v>
      </c>
      <c r="F122" s="69"/>
      <c r="G122" s="69"/>
      <c r="H122" s="69"/>
      <c r="I122" s="69">
        <v>5.5E-2</v>
      </c>
      <c r="J122" s="69"/>
      <c r="K122" s="67">
        <v>7.0000000000000007E-2</v>
      </c>
      <c r="L122" s="66">
        <v>8.5000000000000006E-2</v>
      </c>
    </row>
    <row r="123" spans="1:12" hidden="1" outlineLevel="1" x14ac:dyDescent="0.2">
      <c r="B123" s="39" t="s">
        <v>21</v>
      </c>
      <c r="C123" s="39" t="s">
        <v>136</v>
      </c>
      <c r="D123" s="39" t="s">
        <v>142</v>
      </c>
      <c r="E123" s="65" t="s">
        <v>110</v>
      </c>
      <c r="F123" s="66">
        <v>0.03</v>
      </c>
      <c r="G123" s="67">
        <v>0.04</v>
      </c>
      <c r="H123" s="68">
        <v>4.4999999999999998E-2</v>
      </c>
      <c r="I123" s="69">
        <v>5.5E-2</v>
      </c>
      <c r="J123" s="68">
        <v>0.06</v>
      </c>
      <c r="K123" s="69"/>
      <c r="L123" s="69"/>
    </row>
    <row r="124" spans="1:12" hidden="1" outlineLevel="1" x14ac:dyDescent="0.2">
      <c r="B124" s="39" t="s">
        <v>21</v>
      </c>
      <c r="C124" s="39" t="s">
        <v>136</v>
      </c>
      <c r="D124" s="39" t="s">
        <v>142</v>
      </c>
      <c r="E124" s="70" t="s">
        <v>111</v>
      </c>
      <c r="F124" s="69"/>
      <c r="G124" s="69"/>
      <c r="H124" s="69"/>
      <c r="I124" s="69">
        <v>0.01</v>
      </c>
      <c r="J124" s="69"/>
      <c r="K124" s="67">
        <v>1.4999999999999999E-2</v>
      </c>
      <c r="L124" s="66">
        <v>0.02</v>
      </c>
    </row>
    <row r="125" spans="1:12" hidden="1" outlineLevel="1" x14ac:dyDescent="0.2">
      <c r="B125" s="39" t="s">
        <v>21</v>
      </c>
      <c r="C125" s="39" t="s">
        <v>136</v>
      </c>
      <c r="D125" s="39" t="s">
        <v>142</v>
      </c>
      <c r="E125" s="65" t="s">
        <v>34</v>
      </c>
      <c r="F125" s="69"/>
      <c r="G125" s="69"/>
      <c r="H125" s="68">
        <v>0.105</v>
      </c>
      <c r="I125" s="69">
        <v>0.12</v>
      </c>
      <c r="J125" s="68">
        <v>0.13500000000000001</v>
      </c>
      <c r="K125" s="67">
        <v>0.17</v>
      </c>
      <c r="L125" s="66">
        <v>0.2</v>
      </c>
    </row>
    <row r="126" spans="1:12" hidden="1" outlineLevel="1" x14ac:dyDescent="0.2">
      <c r="B126" s="39" t="s">
        <v>21</v>
      </c>
      <c r="C126" s="39" t="s">
        <v>136</v>
      </c>
      <c r="D126" s="39" t="s">
        <v>142</v>
      </c>
      <c r="E126" s="65" t="s">
        <v>4</v>
      </c>
      <c r="F126" s="71">
        <v>11</v>
      </c>
      <c r="G126" s="72">
        <v>13</v>
      </c>
      <c r="H126" s="73">
        <v>15.5</v>
      </c>
      <c r="I126" s="74">
        <v>16</v>
      </c>
      <c r="J126" s="73">
        <v>17</v>
      </c>
      <c r="K126" s="72">
        <v>19</v>
      </c>
      <c r="L126" s="71">
        <v>20</v>
      </c>
    </row>
    <row r="127" spans="1:12" hidden="1" outlineLevel="1" x14ac:dyDescent="0.2">
      <c r="B127" s="39" t="s">
        <v>21</v>
      </c>
      <c r="C127" s="39" t="s">
        <v>136</v>
      </c>
      <c r="D127" s="39" t="s">
        <v>142</v>
      </c>
      <c r="E127" s="65" t="s">
        <v>14</v>
      </c>
      <c r="F127" s="71">
        <v>5</v>
      </c>
      <c r="G127" s="72">
        <v>5.5</v>
      </c>
      <c r="H127" s="73">
        <v>6.5</v>
      </c>
      <c r="I127" s="74">
        <v>7</v>
      </c>
      <c r="J127" s="73">
        <v>7.5</v>
      </c>
      <c r="K127" s="72">
        <v>8.5</v>
      </c>
      <c r="L127" s="71">
        <v>9</v>
      </c>
    </row>
    <row r="128" spans="1:12" hidden="1" outlineLevel="1" x14ac:dyDescent="0.2">
      <c r="B128" s="39" t="s">
        <v>21</v>
      </c>
      <c r="C128" s="39" t="s">
        <v>136</v>
      </c>
      <c r="D128" s="39" t="s">
        <v>142</v>
      </c>
      <c r="E128" s="65" t="s">
        <v>0</v>
      </c>
      <c r="F128" s="71">
        <v>13</v>
      </c>
      <c r="G128" s="72">
        <v>16.5</v>
      </c>
      <c r="H128" s="73">
        <v>19.5</v>
      </c>
      <c r="I128" s="74">
        <v>21</v>
      </c>
      <c r="J128" s="73">
        <v>22.5</v>
      </c>
      <c r="K128" s="72">
        <v>24</v>
      </c>
      <c r="L128" s="71">
        <v>25.5</v>
      </c>
    </row>
    <row r="129" spans="1:12" hidden="1" outlineLevel="1" x14ac:dyDescent="0.2"/>
    <row r="130" spans="1:12" collapsed="1" x14ac:dyDescent="0.2">
      <c r="A130" s="59">
        <v>370</v>
      </c>
      <c r="B130" s="39" t="s">
        <v>21</v>
      </c>
      <c r="C130" s="39" t="s">
        <v>138</v>
      </c>
      <c r="D130" s="39" t="s">
        <v>142</v>
      </c>
      <c r="E130" s="154" t="s">
        <v>184</v>
      </c>
    </row>
    <row r="131" spans="1:12" hidden="1" outlineLevel="1" x14ac:dyDescent="0.2">
      <c r="B131" s="39" t="s">
        <v>21</v>
      </c>
      <c r="C131" s="39" t="s">
        <v>138</v>
      </c>
      <c r="D131" s="39" t="s">
        <v>142</v>
      </c>
      <c r="E131" s="65" t="s">
        <v>104</v>
      </c>
      <c r="F131" s="66">
        <v>0.36499999999999999</v>
      </c>
      <c r="G131" s="67">
        <v>0.39</v>
      </c>
      <c r="H131" s="68">
        <v>0.42</v>
      </c>
      <c r="I131" s="69">
        <v>0.435</v>
      </c>
      <c r="J131" s="68">
        <v>0.45</v>
      </c>
      <c r="K131" s="67">
        <v>0.48</v>
      </c>
      <c r="L131" s="66">
        <v>0.51500000000000001</v>
      </c>
    </row>
    <row r="132" spans="1:12" hidden="1" outlineLevel="1" x14ac:dyDescent="0.2">
      <c r="B132" s="39" t="s">
        <v>21</v>
      </c>
      <c r="C132" s="39" t="s">
        <v>138</v>
      </c>
      <c r="D132" s="39" t="s">
        <v>142</v>
      </c>
      <c r="E132" s="65" t="s">
        <v>105</v>
      </c>
      <c r="F132" s="69"/>
      <c r="G132" s="69"/>
      <c r="H132" s="68">
        <v>0.02</v>
      </c>
      <c r="I132" s="69">
        <v>2.5000000000000001E-2</v>
      </c>
      <c r="J132" s="68">
        <v>3.5000000000000003E-2</v>
      </c>
      <c r="K132" s="67">
        <v>5.5E-2</v>
      </c>
      <c r="L132" s="66">
        <v>7.4999999999999997E-2</v>
      </c>
    </row>
    <row r="133" spans="1:12" hidden="1" outlineLevel="1" x14ac:dyDescent="0.2">
      <c r="B133" s="39" t="s">
        <v>21</v>
      </c>
      <c r="C133" s="39" t="s">
        <v>138</v>
      </c>
      <c r="D133" s="39" t="s">
        <v>142</v>
      </c>
      <c r="E133" s="65" t="s">
        <v>106</v>
      </c>
      <c r="F133" s="69"/>
      <c r="G133" s="69"/>
      <c r="H133" s="68">
        <v>0.16500000000000001</v>
      </c>
      <c r="I133" s="69">
        <v>0.17499999999999999</v>
      </c>
      <c r="J133" s="68">
        <v>0.185</v>
      </c>
      <c r="K133" s="67">
        <v>0.215</v>
      </c>
      <c r="L133" s="66">
        <v>0.23</v>
      </c>
    </row>
    <row r="134" spans="1:12" hidden="1" outlineLevel="1" x14ac:dyDescent="0.2">
      <c r="B134" s="39" t="s">
        <v>21</v>
      </c>
      <c r="C134" s="39" t="s">
        <v>138</v>
      </c>
      <c r="D134" s="39" t="s">
        <v>142</v>
      </c>
      <c r="E134" s="65" t="s">
        <v>107</v>
      </c>
      <c r="F134" s="69"/>
      <c r="G134" s="69"/>
      <c r="H134" s="69"/>
      <c r="I134" s="69">
        <v>4.4999999999999998E-2</v>
      </c>
      <c r="J134" s="69"/>
      <c r="K134" s="67">
        <v>6.5000000000000002E-2</v>
      </c>
      <c r="L134" s="66">
        <v>7.4999999999999997E-2</v>
      </c>
    </row>
    <row r="135" spans="1:12" hidden="1" outlineLevel="1" x14ac:dyDescent="0.2">
      <c r="B135" s="39" t="s">
        <v>21</v>
      </c>
      <c r="C135" s="39" t="s">
        <v>138</v>
      </c>
      <c r="D135" s="39" t="s">
        <v>142</v>
      </c>
      <c r="E135" s="65" t="s">
        <v>108</v>
      </c>
      <c r="F135" s="69"/>
      <c r="G135" s="69"/>
      <c r="H135" s="69"/>
      <c r="I135" s="69">
        <v>3.5000000000000003E-2</v>
      </c>
      <c r="J135" s="69"/>
      <c r="K135" s="67">
        <v>0.05</v>
      </c>
      <c r="L135" s="66">
        <v>6.5000000000000002E-2</v>
      </c>
    </row>
    <row r="136" spans="1:12" hidden="1" outlineLevel="1" x14ac:dyDescent="0.2">
      <c r="B136" s="39" t="s">
        <v>21</v>
      </c>
      <c r="C136" s="39" t="s">
        <v>138</v>
      </c>
      <c r="D136" s="39" t="s">
        <v>142</v>
      </c>
      <c r="E136" s="65" t="s">
        <v>109</v>
      </c>
      <c r="F136" s="69"/>
      <c r="G136" s="69"/>
      <c r="H136" s="69"/>
      <c r="I136" s="69">
        <v>5.5E-2</v>
      </c>
      <c r="J136" s="69"/>
      <c r="K136" s="67">
        <v>7.0000000000000007E-2</v>
      </c>
      <c r="L136" s="66">
        <v>0.08</v>
      </c>
    </row>
    <row r="137" spans="1:12" hidden="1" outlineLevel="1" x14ac:dyDescent="0.2">
      <c r="B137" s="39" t="s">
        <v>21</v>
      </c>
      <c r="C137" s="39" t="s">
        <v>138</v>
      </c>
      <c r="D137" s="39" t="s">
        <v>142</v>
      </c>
      <c r="E137" s="65" t="s">
        <v>110</v>
      </c>
      <c r="F137" s="66">
        <v>2.5000000000000001E-2</v>
      </c>
      <c r="G137" s="67">
        <v>3.5000000000000003E-2</v>
      </c>
      <c r="H137" s="68">
        <v>4.4999999999999998E-2</v>
      </c>
      <c r="I137" s="69">
        <v>0.05</v>
      </c>
      <c r="J137" s="68">
        <v>5.5E-2</v>
      </c>
      <c r="K137" s="69"/>
      <c r="L137" s="69"/>
    </row>
    <row r="138" spans="1:12" hidden="1" outlineLevel="1" x14ac:dyDescent="0.2">
      <c r="B138" s="39" t="s">
        <v>21</v>
      </c>
      <c r="C138" s="39" t="s">
        <v>138</v>
      </c>
      <c r="D138" s="39" t="s">
        <v>142</v>
      </c>
      <c r="E138" s="65" t="s">
        <v>111</v>
      </c>
      <c r="F138" s="69"/>
      <c r="G138" s="69"/>
      <c r="H138" s="69"/>
      <c r="I138" s="69">
        <v>0.01</v>
      </c>
      <c r="J138" s="69"/>
      <c r="K138" s="67">
        <v>1.4999999999999999E-2</v>
      </c>
      <c r="L138" s="66">
        <v>0.02</v>
      </c>
    </row>
    <row r="139" spans="1:12" hidden="1" outlineLevel="1" x14ac:dyDescent="0.2">
      <c r="B139" s="39" t="s">
        <v>21</v>
      </c>
      <c r="C139" s="39" t="s">
        <v>138</v>
      </c>
      <c r="D139" s="39" t="s">
        <v>142</v>
      </c>
      <c r="E139" s="65" t="s">
        <v>34</v>
      </c>
      <c r="F139" s="69"/>
      <c r="G139" s="69"/>
      <c r="H139" s="68">
        <v>9.5000000000000001E-2</v>
      </c>
      <c r="I139" s="69">
        <v>0.105</v>
      </c>
      <c r="J139" s="68">
        <v>0.115</v>
      </c>
      <c r="K139" s="67">
        <v>0.13500000000000001</v>
      </c>
      <c r="L139" s="66">
        <v>0.155</v>
      </c>
    </row>
    <row r="140" spans="1:12" hidden="1" outlineLevel="1" x14ac:dyDescent="0.2">
      <c r="B140" s="39" t="s">
        <v>21</v>
      </c>
      <c r="C140" s="39" t="s">
        <v>138</v>
      </c>
      <c r="D140" s="39" t="s">
        <v>142</v>
      </c>
      <c r="E140" s="65" t="s">
        <v>4</v>
      </c>
      <c r="F140" s="71">
        <v>15</v>
      </c>
      <c r="G140" s="72">
        <v>16</v>
      </c>
      <c r="H140" s="73">
        <v>17.5</v>
      </c>
      <c r="I140" s="74">
        <v>18</v>
      </c>
      <c r="J140" s="73">
        <v>19</v>
      </c>
      <c r="K140" s="72">
        <v>21</v>
      </c>
      <c r="L140" s="71">
        <v>22.5</v>
      </c>
    </row>
    <row r="141" spans="1:12" hidden="1" outlineLevel="1" x14ac:dyDescent="0.2">
      <c r="B141" s="39" t="s">
        <v>21</v>
      </c>
      <c r="C141" s="39" t="s">
        <v>138</v>
      </c>
      <c r="D141" s="39" t="s">
        <v>142</v>
      </c>
      <c r="E141" s="65" t="s">
        <v>14</v>
      </c>
      <c r="F141" s="71">
        <v>6.5</v>
      </c>
      <c r="G141" s="72">
        <v>7</v>
      </c>
      <c r="H141" s="73">
        <v>7.5</v>
      </c>
      <c r="I141" s="74">
        <v>8</v>
      </c>
      <c r="J141" s="73">
        <v>8.5</v>
      </c>
      <c r="K141" s="72">
        <v>9</v>
      </c>
      <c r="L141" s="71">
        <v>10</v>
      </c>
    </row>
    <row r="142" spans="1:12" hidden="1" outlineLevel="1" x14ac:dyDescent="0.2">
      <c r="B142" s="39" t="s">
        <v>21</v>
      </c>
      <c r="C142" s="39" t="s">
        <v>138</v>
      </c>
      <c r="D142" s="39" t="s">
        <v>142</v>
      </c>
      <c r="E142" s="65" t="s">
        <v>0</v>
      </c>
      <c r="F142" s="71">
        <v>19</v>
      </c>
      <c r="G142" s="72">
        <v>20.5</v>
      </c>
      <c r="H142" s="73">
        <v>22.5</v>
      </c>
      <c r="I142" s="74">
        <v>23</v>
      </c>
      <c r="J142" s="73">
        <v>24</v>
      </c>
      <c r="K142" s="72">
        <v>26.5</v>
      </c>
      <c r="L142" s="71">
        <v>28</v>
      </c>
    </row>
    <row r="143" spans="1:12" hidden="1" outlineLevel="1" x14ac:dyDescent="0.2"/>
    <row r="144" spans="1:12" collapsed="1" x14ac:dyDescent="0.2">
      <c r="A144" s="75">
        <v>2197</v>
      </c>
      <c r="B144" s="39" t="s">
        <v>21</v>
      </c>
      <c r="C144" s="39" t="s">
        <v>139</v>
      </c>
      <c r="D144" s="39" t="s">
        <v>142</v>
      </c>
      <c r="E144" s="154" t="s">
        <v>186</v>
      </c>
    </row>
    <row r="145" spans="1:12" hidden="1" outlineLevel="1" x14ac:dyDescent="0.2">
      <c r="B145" s="39" t="s">
        <v>21</v>
      </c>
      <c r="C145" s="39" t="s">
        <v>139</v>
      </c>
      <c r="D145" s="39" t="s">
        <v>142</v>
      </c>
      <c r="E145" s="65" t="s">
        <v>104</v>
      </c>
      <c r="F145" s="66">
        <v>0.36</v>
      </c>
      <c r="G145" s="67">
        <v>0.38500000000000001</v>
      </c>
      <c r="H145" s="68">
        <v>0.41</v>
      </c>
      <c r="I145" s="69">
        <v>0.42499999999999999</v>
      </c>
      <c r="J145" s="68">
        <v>0.435</v>
      </c>
      <c r="K145" s="67">
        <v>0.46500000000000002</v>
      </c>
      <c r="L145" s="66">
        <v>0.49</v>
      </c>
    </row>
    <row r="146" spans="1:12" hidden="1" outlineLevel="1" x14ac:dyDescent="0.2">
      <c r="B146" s="39" t="s">
        <v>21</v>
      </c>
      <c r="C146" s="39" t="s">
        <v>139</v>
      </c>
      <c r="D146" s="39" t="s">
        <v>142</v>
      </c>
      <c r="E146" s="65" t="s">
        <v>105</v>
      </c>
      <c r="F146" s="69"/>
      <c r="G146" s="69"/>
      <c r="H146" s="68">
        <v>0.02</v>
      </c>
      <c r="I146" s="69">
        <v>2.5000000000000001E-2</v>
      </c>
      <c r="J146" s="68">
        <v>0.03</v>
      </c>
      <c r="K146" s="67">
        <v>4.4999999999999998E-2</v>
      </c>
      <c r="L146" s="66">
        <v>6.5000000000000002E-2</v>
      </c>
    </row>
    <row r="147" spans="1:12" hidden="1" outlineLevel="1" x14ac:dyDescent="0.2">
      <c r="B147" s="39" t="s">
        <v>21</v>
      </c>
      <c r="C147" s="39" t="s">
        <v>139</v>
      </c>
      <c r="D147" s="39" t="s">
        <v>142</v>
      </c>
      <c r="E147" s="65" t="s">
        <v>106</v>
      </c>
      <c r="F147" s="69"/>
      <c r="G147" s="69"/>
      <c r="H147" s="68">
        <v>0.185</v>
      </c>
      <c r="I147" s="69">
        <v>0.2</v>
      </c>
      <c r="J147" s="68">
        <v>0.21</v>
      </c>
      <c r="K147" s="67">
        <v>0.23499999999999999</v>
      </c>
      <c r="L147" s="66">
        <v>0.26</v>
      </c>
    </row>
    <row r="148" spans="1:12" hidden="1" outlineLevel="1" x14ac:dyDescent="0.2">
      <c r="B148" s="39" t="s">
        <v>21</v>
      </c>
      <c r="C148" s="39" t="s">
        <v>139</v>
      </c>
      <c r="D148" s="39" t="s">
        <v>142</v>
      </c>
      <c r="E148" s="65" t="s">
        <v>107</v>
      </c>
      <c r="F148" s="69"/>
      <c r="G148" s="69"/>
      <c r="H148" s="69"/>
      <c r="I148" s="69">
        <v>4.4999999999999998E-2</v>
      </c>
      <c r="J148" s="69"/>
      <c r="K148" s="67">
        <v>0.06</v>
      </c>
      <c r="L148" s="66">
        <v>7.4999999999999997E-2</v>
      </c>
    </row>
    <row r="149" spans="1:12" hidden="1" outlineLevel="1" x14ac:dyDescent="0.2">
      <c r="B149" s="39" t="s">
        <v>21</v>
      </c>
      <c r="C149" s="39" t="s">
        <v>139</v>
      </c>
      <c r="D149" s="39" t="s">
        <v>142</v>
      </c>
      <c r="E149" s="65" t="s">
        <v>108</v>
      </c>
      <c r="F149" s="69"/>
      <c r="G149" s="69"/>
      <c r="H149" s="69"/>
      <c r="I149" s="69">
        <v>3.5000000000000003E-2</v>
      </c>
      <c r="J149" s="69"/>
      <c r="K149" s="67">
        <v>0.05</v>
      </c>
      <c r="L149" s="66">
        <v>0.06</v>
      </c>
    </row>
    <row r="150" spans="1:12" hidden="1" outlineLevel="1" x14ac:dyDescent="0.2">
      <c r="B150" s="39" t="s">
        <v>21</v>
      </c>
      <c r="C150" s="39" t="s">
        <v>139</v>
      </c>
      <c r="D150" s="39" t="s">
        <v>142</v>
      </c>
      <c r="E150" s="65" t="s">
        <v>109</v>
      </c>
      <c r="F150" s="69"/>
      <c r="G150" s="69"/>
      <c r="H150" s="69"/>
      <c r="I150" s="69">
        <v>5.5E-2</v>
      </c>
      <c r="J150" s="69"/>
      <c r="K150" s="67">
        <v>7.0000000000000007E-2</v>
      </c>
      <c r="L150" s="66">
        <v>0.08</v>
      </c>
    </row>
    <row r="151" spans="1:12" hidden="1" outlineLevel="1" x14ac:dyDescent="0.2">
      <c r="B151" s="39" t="s">
        <v>21</v>
      </c>
      <c r="C151" s="39" t="s">
        <v>139</v>
      </c>
      <c r="D151" s="39" t="s">
        <v>142</v>
      </c>
      <c r="E151" s="65" t="s">
        <v>110</v>
      </c>
      <c r="F151" s="66">
        <v>2.5000000000000001E-2</v>
      </c>
      <c r="G151" s="67">
        <v>3.5000000000000003E-2</v>
      </c>
      <c r="H151" s="68">
        <v>0.04</v>
      </c>
      <c r="I151" s="69">
        <v>4.4999999999999998E-2</v>
      </c>
      <c r="J151" s="68">
        <v>0.05</v>
      </c>
      <c r="K151" s="69"/>
      <c r="L151" s="69"/>
    </row>
    <row r="152" spans="1:12" hidden="1" outlineLevel="1" x14ac:dyDescent="0.2">
      <c r="B152" s="39" t="s">
        <v>21</v>
      </c>
      <c r="C152" s="39" t="s">
        <v>139</v>
      </c>
      <c r="D152" s="39" t="s">
        <v>142</v>
      </c>
      <c r="E152" s="65" t="s">
        <v>111</v>
      </c>
      <c r="F152" s="69"/>
      <c r="G152" s="69"/>
      <c r="H152" s="69"/>
      <c r="I152" s="69">
        <v>0.01</v>
      </c>
      <c r="J152" s="69"/>
      <c r="K152" s="67">
        <v>1.4999999999999999E-2</v>
      </c>
      <c r="L152" s="66">
        <v>0.02</v>
      </c>
    </row>
    <row r="153" spans="1:12" hidden="1" outlineLevel="1" x14ac:dyDescent="0.2">
      <c r="B153" s="39" t="s">
        <v>21</v>
      </c>
      <c r="C153" s="39" t="s">
        <v>139</v>
      </c>
      <c r="D153" s="39" t="s">
        <v>142</v>
      </c>
      <c r="E153" s="65" t="s">
        <v>34</v>
      </c>
      <c r="F153" s="69"/>
      <c r="G153" s="69"/>
      <c r="H153" s="68">
        <v>7.4999999999999997E-2</v>
      </c>
      <c r="I153" s="69">
        <v>0.08</v>
      </c>
      <c r="J153" s="68">
        <v>0.09</v>
      </c>
      <c r="K153" s="67">
        <v>0.11</v>
      </c>
      <c r="L153" s="66">
        <v>0.13</v>
      </c>
    </row>
    <row r="154" spans="1:12" hidden="1" outlineLevel="1" x14ac:dyDescent="0.2">
      <c r="B154" s="39" t="s">
        <v>21</v>
      </c>
      <c r="C154" s="39" t="s">
        <v>139</v>
      </c>
      <c r="D154" s="39" t="s">
        <v>142</v>
      </c>
      <c r="E154" s="65" t="s">
        <v>4</v>
      </c>
      <c r="F154" s="71">
        <v>16</v>
      </c>
      <c r="G154" s="72">
        <v>17.5</v>
      </c>
      <c r="H154" s="73">
        <v>19</v>
      </c>
      <c r="I154" s="74">
        <v>19.5</v>
      </c>
      <c r="J154" s="73">
        <v>20.5</v>
      </c>
      <c r="K154" s="72">
        <v>22.5</v>
      </c>
      <c r="L154" s="71">
        <v>24</v>
      </c>
    </row>
    <row r="155" spans="1:12" hidden="1" outlineLevel="1" x14ac:dyDescent="0.2">
      <c r="B155" s="39" t="s">
        <v>21</v>
      </c>
      <c r="C155" s="39" t="s">
        <v>139</v>
      </c>
      <c r="D155" s="39" t="s">
        <v>142</v>
      </c>
      <c r="E155" s="65" t="s">
        <v>14</v>
      </c>
      <c r="F155" s="71">
        <v>6.5</v>
      </c>
      <c r="G155" s="72">
        <v>7.5</v>
      </c>
      <c r="H155" s="73">
        <v>8</v>
      </c>
      <c r="I155" s="74">
        <v>8.5</v>
      </c>
      <c r="J155" s="73">
        <v>8.5</v>
      </c>
      <c r="K155" s="72">
        <v>9.5</v>
      </c>
      <c r="L155" s="71">
        <v>10</v>
      </c>
    </row>
    <row r="156" spans="1:12" hidden="1" outlineLevel="1" x14ac:dyDescent="0.2">
      <c r="B156" s="39" t="s">
        <v>21</v>
      </c>
      <c r="C156" s="39" t="s">
        <v>139</v>
      </c>
      <c r="D156" s="39" t="s">
        <v>142</v>
      </c>
      <c r="E156" s="65" t="s">
        <v>0</v>
      </c>
      <c r="F156" s="71">
        <v>22.5</v>
      </c>
      <c r="G156" s="72">
        <v>23.5</v>
      </c>
      <c r="H156" s="73">
        <v>25.5</v>
      </c>
      <c r="I156" s="74">
        <v>26.5</v>
      </c>
      <c r="J156" s="73">
        <v>27</v>
      </c>
      <c r="K156" s="72">
        <v>28.5</v>
      </c>
      <c r="L156" s="71">
        <v>29.5</v>
      </c>
    </row>
    <row r="157" spans="1:12" hidden="1" outlineLevel="1" x14ac:dyDescent="0.2"/>
    <row r="158" spans="1:12" collapsed="1" x14ac:dyDescent="0.2">
      <c r="A158" s="75">
        <v>1120</v>
      </c>
      <c r="B158" s="39" t="s">
        <v>21</v>
      </c>
      <c r="C158" s="39" t="s">
        <v>140</v>
      </c>
      <c r="D158" s="39" t="s">
        <v>142</v>
      </c>
      <c r="E158" s="154" t="s">
        <v>187</v>
      </c>
    </row>
    <row r="159" spans="1:12" hidden="1" outlineLevel="1" x14ac:dyDescent="0.2">
      <c r="B159" s="39" t="s">
        <v>21</v>
      </c>
      <c r="C159" s="39" t="s">
        <v>140</v>
      </c>
      <c r="D159" s="39" t="s">
        <v>142</v>
      </c>
      <c r="E159" s="65" t="s">
        <v>104</v>
      </c>
      <c r="F159" s="66">
        <v>0.35499999999999998</v>
      </c>
      <c r="G159" s="67">
        <v>0.38</v>
      </c>
      <c r="H159" s="68">
        <v>0.41</v>
      </c>
      <c r="I159" s="69">
        <v>0.42499999999999999</v>
      </c>
      <c r="J159" s="68">
        <v>0.435</v>
      </c>
      <c r="K159" s="67">
        <v>0.46500000000000002</v>
      </c>
      <c r="L159" s="66">
        <v>0.49</v>
      </c>
    </row>
    <row r="160" spans="1:12" hidden="1" outlineLevel="1" x14ac:dyDescent="0.2">
      <c r="B160" s="39" t="s">
        <v>21</v>
      </c>
      <c r="C160" s="39" t="s">
        <v>140</v>
      </c>
      <c r="D160" s="39" t="s">
        <v>142</v>
      </c>
      <c r="E160" s="65" t="s">
        <v>105</v>
      </c>
      <c r="F160" s="69"/>
      <c r="G160" s="69"/>
      <c r="H160" s="68">
        <v>0.02</v>
      </c>
      <c r="I160" s="69">
        <v>2.5000000000000001E-2</v>
      </c>
      <c r="J160" s="68">
        <v>0.03</v>
      </c>
      <c r="K160" s="67">
        <v>4.4999999999999998E-2</v>
      </c>
      <c r="L160" s="66">
        <v>0.06</v>
      </c>
    </row>
    <row r="161" spans="1:14" hidden="1" outlineLevel="1" x14ac:dyDescent="0.2">
      <c r="B161" s="39" t="s">
        <v>21</v>
      </c>
      <c r="C161" s="39" t="s">
        <v>140</v>
      </c>
      <c r="D161" s="39" t="s">
        <v>142</v>
      </c>
      <c r="E161" s="65" t="s">
        <v>106</v>
      </c>
      <c r="F161" s="69"/>
      <c r="G161" s="69"/>
      <c r="H161" s="68">
        <v>0.19500000000000001</v>
      </c>
      <c r="I161" s="69">
        <v>0.20499999999999999</v>
      </c>
      <c r="J161" s="68">
        <v>0.22</v>
      </c>
      <c r="K161" s="67">
        <v>0.25</v>
      </c>
      <c r="L161" s="66">
        <v>0.26500000000000001</v>
      </c>
    </row>
    <row r="162" spans="1:14" hidden="1" outlineLevel="1" x14ac:dyDescent="0.2">
      <c r="B162" s="39" t="s">
        <v>21</v>
      </c>
      <c r="C162" s="39" t="s">
        <v>140</v>
      </c>
      <c r="D162" s="39" t="s">
        <v>142</v>
      </c>
      <c r="E162" s="65" t="s">
        <v>107</v>
      </c>
      <c r="F162" s="69"/>
      <c r="G162" s="69"/>
      <c r="H162" s="69"/>
      <c r="I162" s="69">
        <v>4.4999999999999998E-2</v>
      </c>
      <c r="J162" s="69"/>
      <c r="K162" s="67">
        <v>0.06</v>
      </c>
      <c r="L162" s="66">
        <v>7.4999999999999997E-2</v>
      </c>
    </row>
    <row r="163" spans="1:14" hidden="1" outlineLevel="1" x14ac:dyDescent="0.2">
      <c r="B163" s="39" t="s">
        <v>21</v>
      </c>
      <c r="C163" s="39" t="s">
        <v>140</v>
      </c>
      <c r="D163" s="39" t="s">
        <v>142</v>
      </c>
      <c r="E163" s="65" t="s">
        <v>108</v>
      </c>
      <c r="F163" s="69"/>
      <c r="G163" s="69"/>
      <c r="H163" s="69"/>
      <c r="I163" s="69">
        <v>3.5000000000000003E-2</v>
      </c>
      <c r="J163" s="69"/>
      <c r="K163" s="67">
        <v>4.4999999999999998E-2</v>
      </c>
      <c r="L163" s="66">
        <v>0.06</v>
      </c>
    </row>
    <row r="164" spans="1:14" hidden="1" outlineLevel="1" x14ac:dyDescent="0.2">
      <c r="B164" s="39" t="s">
        <v>21</v>
      </c>
      <c r="C164" s="39" t="s">
        <v>140</v>
      </c>
      <c r="D164" s="39" t="s">
        <v>142</v>
      </c>
      <c r="E164" s="65" t="s">
        <v>109</v>
      </c>
      <c r="F164" s="69"/>
      <c r="G164" s="69"/>
      <c r="H164" s="69"/>
      <c r="I164" s="69">
        <v>0.05</v>
      </c>
      <c r="J164" s="69"/>
      <c r="K164" s="67">
        <v>7.0000000000000007E-2</v>
      </c>
      <c r="L164" s="66">
        <v>0.08</v>
      </c>
    </row>
    <row r="165" spans="1:14" hidden="1" outlineLevel="1" x14ac:dyDescent="0.2">
      <c r="B165" s="39" t="s">
        <v>21</v>
      </c>
      <c r="C165" s="39" t="s">
        <v>140</v>
      </c>
      <c r="D165" s="39" t="s">
        <v>142</v>
      </c>
      <c r="E165" s="65" t="s">
        <v>110</v>
      </c>
      <c r="F165" s="66">
        <v>2.5000000000000001E-2</v>
      </c>
      <c r="G165" s="67">
        <v>0.03</v>
      </c>
      <c r="H165" s="68">
        <v>0.04</v>
      </c>
      <c r="I165" s="69">
        <v>4.4999999999999998E-2</v>
      </c>
      <c r="J165" s="68">
        <v>0.05</v>
      </c>
      <c r="K165" s="69"/>
      <c r="L165" s="69"/>
    </row>
    <row r="166" spans="1:14" hidden="1" outlineLevel="1" x14ac:dyDescent="0.2">
      <c r="B166" s="39" t="s">
        <v>21</v>
      </c>
      <c r="C166" s="39" t="s">
        <v>140</v>
      </c>
      <c r="D166" s="39" t="s">
        <v>142</v>
      </c>
      <c r="E166" s="70" t="s">
        <v>111</v>
      </c>
      <c r="F166" s="69"/>
      <c r="G166" s="69"/>
      <c r="H166" s="69"/>
      <c r="I166" s="69">
        <v>0.01</v>
      </c>
      <c r="J166" s="69"/>
      <c r="K166" s="67">
        <v>1.4999999999999999E-2</v>
      </c>
      <c r="L166" s="66">
        <v>0.02</v>
      </c>
    </row>
    <row r="167" spans="1:14" hidden="1" outlineLevel="1" x14ac:dyDescent="0.2">
      <c r="B167" s="39" t="s">
        <v>21</v>
      </c>
      <c r="C167" s="39" t="s">
        <v>140</v>
      </c>
      <c r="D167" s="39" t="s">
        <v>142</v>
      </c>
      <c r="E167" s="65" t="s">
        <v>34</v>
      </c>
      <c r="F167" s="69"/>
      <c r="G167" s="69"/>
      <c r="H167" s="68">
        <v>6.5000000000000002E-2</v>
      </c>
      <c r="I167" s="69">
        <v>7.0000000000000007E-2</v>
      </c>
      <c r="J167" s="68">
        <v>7.4999999999999997E-2</v>
      </c>
      <c r="K167" s="67">
        <v>0.09</v>
      </c>
      <c r="L167" s="66">
        <v>0.105</v>
      </c>
    </row>
    <row r="168" spans="1:14" hidden="1" outlineLevel="1" x14ac:dyDescent="0.2">
      <c r="B168" s="39" t="s">
        <v>21</v>
      </c>
      <c r="C168" s="39" t="s">
        <v>140</v>
      </c>
      <c r="D168" s="39" t="s">
        <v>142</v>
      </c>
      <c r="E168" s="65" t="s">
        <v>4</v>
      </c>
      <c r="F168" s="71">
        <v>17</v>
      </c>
      <c r="G168" s="72">
        <v>18</v>
      </c>
      <c r="H168" s="73">
        <v>20</v>
      </c>
      <c r="I168" s="74">
        <v>20.5</v>
      </c>
      <c r="J168" s="73">
        <v>21</v>
      </c>
      <c r="K168" s="72">
        <v>23</v>
      </c>
      <c r="L168" s="71">
        <v>24.5</v>
      </c>
    </row>
    <row r="169" spans="1:14" hidden="1" outlineLevel="1" x14ac:dyDescent="0.2">
      <c r="B169" s="39" t="s">
        <v>21</v>
      </c>
      <c r="C169" s="39" t="s">
        <v>140</v>
      </c>
      <c r="D169" s="39" t="s">
        <v>142</v>
      </c>
      <c r="E169" s="65" t="s">
        <v>14</v>
      </c>
      <c r="F169" s="71">
        <v>7</v>
      </c>
      <c r="G169" s="72">
        <v>7.5</v>
      </c>
      <c r="H169" s="73">
        <v>8</v>
      </c>
      <c r="I169" s="74">
        <v>8.5</v>
      </c>
      <c r="J169" s="73">
        <v>9</v>
      </c>
      <c r="K169" s="72">
        <v>9.5</v>
      </c>
      <c r="L169" s="71">
        <v>10.5</v>
      </c>
    </row>
    <row r="170" spans="1:14" hidden="1" outlineLevel="1" x14ac:dyDescent="0.2">
      <c r="B170" s="39" t="s">
        <v>21</v>
      </c>
      <c r="C170" s="39" t="s">
        <v>140</v>
      </c>
      <c r="D170" s="39" t="s">
        <v>142</v>
      </c>
      <c r="E170" s="70" t="s">
        <v>0</v>
      </c>
      <c r="F170" s="71">
        <v>24.5</v>
      </c>
      <c r="G170" s="72">
        <v>25.5</v>
      </c>
      <c r="H170" s="73">
        <v>27</v>
      </c>
      <c r="I170" s="74">
        <v>27.5</v>
      </c>
      <c r="J170" s="73">
        <v>28</v>
      </c>
      <c r="K170" s="72">
        <v>29</v>
      </c>
      <c r="L170" s="71">
        <v>29.5</v>
      </c>
    </row>
    <row r="171" spans="1:14" hidden="1" outlineLevel="1" x14ac:dyDescent="0.2"/>
    <row r="172" spans="1:14" collapsed="1" x14ac:dyDescent="0.2"/>
    <row r="173" spans="1:14" s="63" customFormat="1" ht="51.4" customHeight="1" x14ac:dyDescent="0.25">
      <c r="A173" s="62" t="s">
        <v>146</v>
      </c>
      <c r="B173" s="62" t="s">
        <v>16</v>
      </c>
      <c r="C173" s="62" t="s">
        <v>129</v>
      </c>
      <c r="D173" s="62" t="s">
        <v>20</v>
      </c>
      <c r="F173" s="64" t="s">
        <v>149</v>
      </c>
      <c r="G173" s="64" t="s">
        <v>150</v>
      </c>
      <c r="H173" s="64" t="s">
        <v>151</v>
      </c>
      <c r="I173" s="64" t="s">
        <v>156</v>
      </c>
      <c r="J173" s="64" t="s">
        <v>155</v>
      </c>
      <c r="K173" s="64" t="s">
        <v>152</v>
      </c>
      <c r="L173" s="64" t="s">
        <v>153</v>
      </c>
      <c r="N173" s="63" t="s">
        <v>154</v>
      </c>
    </row>
    <row r="174" spans="1:14" x14ac:dyDescent="0.2">
      <c r="A174" s="76">
        <v>59</v>
      </c>
      <c r="B174" s="39" t="s">
        <v>131</v>
      </c>
      <c r="C174" s="39" t="s">
        <v>138</v>
      </c>
      <c r="D174" s="39" t="s">
        <v>137</v>
      </c>
      <c r="E174" s="154" t="s">
        <v>188</v>
      </c>
    </row>
    <row r="175" spans="1:14" hidden="1" outlineLevel="1" x14ac:dyDescent="0.2">
      <c r="A175" s="76"/>
      <c r="B175" s="39" t="s">
        <v>131</v>
      </c>
      <c r="C175" s="39" t="s">
        <v>138</v>
      </c>
      <c r="D175" s="39" t="s">
        <v>137</v>
      </c>
      <c r="E175" s="65" t="s">
        <v>104</v>
      </c>
      <c r="F175" s="66">
        <v>0.45500000000000002</v>
      </c>
      <c r="G175" s="67">
        <v>0.49</v>
      </c>
      <c r="H175" s="68">
        <v>0.54</v>
      </c>
      <c r="I175" s="69">
        <v>0.56000000000000005</v>
      </c>
      <c r="J175" s="68">
        <v>0.56999999999999995</v>
      </c>
      <c r="K175" s="67">
        <v>0.61</v>
      </c>
      <c r="L175" s="66">
        <v>0.625</v>
      </c>
    </row>
    <row r="176" spans="1:14" hidden="1" outlineLevel="1" x14ac:dyDescent="0.2">
      <c r="A176" s="76"/>
      <c r="B176" s="39" t="s">
        <v>131</v>
      </c>
      <c r="C176" s="39" t="s">
        <v>138</v>
      </c>
      <c r="D176" s="39" t="s">
        <v>137</v>
      </c>
      <c r="E176" s="65" t="s">
        <v>105</v>
      </c>
      <c r="F176" s="69"/>
      <c r="G176" s="69"/>
      <c r="H176" s="68">
        <v>0.01</v>
      </c>
      <c r="I176" s="69">
        <v>1.4999999999999999E-2</v>
      </c>
      <c r="J176" s="68">
        <v>0.02</v>
      </c>
      <c r="K176" s="67">
        <v>0.03</v>
      </c>
      <c r="L176" s="66">
        <v>0.04</v>
      </c>
    </row>
    <row r="177" spans="1:12" hidden="1" outlineLevel="1" x14ac:dyDescent="0.2">
      <c r="A177" s="76"/>
      <c r="B177" s="39" t="s">
        <v>131</v>
      </c>
      <c r="C177" s="39" t="s">
        <v>138</v>
      </c>
      <c r="D177" s="39" t="s">
        <v>137</v>
      </c>
      <c r="E177" s="65" t="s">
        <v>106</v>
      </c>
      <c r="F177" s="69"/>
      <c r="G177" s="69"/>
      <c r="H177" s="68">
        <v>0.05</v>
      </c>
      <c r="I177" s="69">
        <v>0.06</v>
      </c>
      <c r="J177" s="68">
        <v>7.0000000000000007E-2</v>
      </c>
      <c r="K177" s="67">
        <v>0.09</v>
      </c>
      <c r="L177" s="66">
        <v>0.11</v>
      </c>
    </row>
    <row r="178" spans="1:12" hidden="1" outlineLevel="1" x14ac:dyDescent="0.2">
      <c r="A178" s="76"/>
      <c r="B178" s="39" t="s">
        <v>131</v>
      </c>
      <c r="C178" s="39" t="s">
        <v>138</v>
      </c>
      <c r="D178" s="39" t="s">
        <v>137</v>
      </c>
      <c r="E178" s="65" t="s">
        <v>107</v>
      </c>
      <c r="F178" s="69"/>
      <c r="G178" s="69"/>
      <c r="H178" s="69"/>
      <c r="I178" s="69">
        <v>6.5000000000000002E-2</v>
      </c>
      <c r="J178" s="69"/>
      <c r="K178" s="67">
        <v>0.09</v>
      </c>
      <c r="L178" s="66">
        <v>0.1</v>
      </c>
    </row>
    <row r="179" spans="1:12" hidden="1" outlineLevel="1" x14ac:dyDescent="0.2">
      <c r="A179" s="76"/>
      <c r="B179" s="39" t="s">
        <v>131</v>
      </c>
      <c r="C179" s="39" t="s">
        <v>138</v>
      </c>
      <c r="D179" s="39" t="s">
        <v>137</v>
      </c>
      <c r="E179" s="65" t="s">
        <v>108</v>
      </c>
      <c r="F179" s="69"/>
      <c r="G179" s="69"/>
      <c r="H179" s="69"/>
      <c r="I179" s="69">
        <v>0.01</v>
      </c>
      <c r="J179" s="69"/>
      <c r="K179" s="67">
        <v>4.4999999999999998E-2</v>
      </c>
      <c r="L179" s="66">
        <v>7.0000000000000007E-2</v>
      </c>
    </row>
    <row r="180" spans="1:12" hidden="1" outlineLevel="1" x14ac:dyDescent="0.2">
      <c r="A180" s="76"/>
      <c r="B180" s="39" t="s">
        <v>131</v>
      </c>
      <c r="C180" s="39" t="s">
        <v>138</v>
      </c>
      <c r="D180" s="39" t="s">
        <v>137</v>
      </c>
      <c r="E180" s="65" t="s">
        <v>109</v>
      </c>
      <c r="F180" s="69"/>
      <c r="G180" s="69"/>
      <c r="H180" s="69"/>
      <c r="I180" s="69">
        <v>0.05</v>
      </c>
      <c r="J180" s="69"/>
      <c r="K180" s="67">
        <v>7.4999999999999997E-2</v>
      </c>
      <c r="L180" s="66">
        <v>8.5000000000000006E-2</v>
      </c>
    </row>
    <row r="181" spans="1:12" hidden="1" outlineLevel="1" x14ac:dyDescent="0.2">
      <c r="A181" s="76"/>
      <c r="B181" s="39" t="s">
        <v>131</v>
      </c>
      <c r="C181" s="39" t="s">
        <v>138</v>
      </c>
      <c r="D181" s="39" t="s">
        <v>137</v>
      </c>
      <c r="E181" s="65" t="s">
        <v>110</v>
      </c>
      <c r="F181" s="66">
        <v>0.05</v>
      </c>
      <c r="G181" s="67">
        <v>0.06</v>
      </c>
      <c r="H181" s="68">
        <v>7.0000000000000007E-2</v>
      </c>
      <c r="I181" s="69">
        <v>7.4999999999999997E-2</v>
      </c>
      <c r="J181" s="68">
        <v>8.5000000000000006E-2</v>
      </c>
      <c r="K181" s="69"/>
      <c r="L181" s="69"/>
    </row>
    <row r="182" spans="1:12" hidden="1" outlineLevel="1" x14ac:dyDescent="0.2">
      <c r="A182" s="76"/>
      <c r="B182" s="39" t="s">
        <v>131</v>
      </c>
      <c r="C182" s="39" t="s">
        <v>138</v>
      </c>
      <c r="D182" s="39" t="s">
        <v>137</v>
      </c>
      <c r="E182" s="65" t="s">
        <v>111</v>
      </c>
      <c r="F182" s="69"/>
      <c r="G182" s="69"/>
      <c r="H182" s="69"/>
      <c r="I182" s="69">
        <v>0.01</v>
      </c>
      <c r="J182" s="69"/>
      <c r="K182" s="67">
        <v>1.4999999999999999E-2</v>
      </c>
      <c r="L182" s="66">
        <v>0.02</v>
      </c>
    </row>
    <row r="183" spans="1:12" hidden="1" outlineLevel="1" x14ac:dyDescent="0.2">
      <c r="A183" s="76"/>
      <c r="B183" s="39" t="s">
        <v>131</v>
      </c>
      <c r="C183" s="39" t="s">
        <v>138</v>
      </c>
      <c r="D183" s="39" t="s">
        <v>137</v>
      </c>
      <c r="E183" s="65" t="s">
        <v>34</v>
      </c>
      <c r="F183" s="69"/>
      <c r="G183" s="69"/>
      <c r="H183" s="68">
        <v>0.06</v>
      </c>
      <c r="I183" s="69">
        <v>6.5000000000000002E-2</v>
      </c>
      <c r="J183" s="68">
        <v>7.0000000000000007E-2</v>
      </c>
      <c r="K183" s="67">
        <v>0.09</v>
      </c>
      <c r="L183" s="66">
        <v>0.14000000000000001</v>
      </c>
    </row>
    <row r="184" spans="1:12" hidden="1" outlineLevel="1" x14ac:dyDescent="0.2">
      <c r="A184" s="76"/>
      <c r="B184" s="39" t="s">
        <v>131</v>
      </c>
      <c r="C184" s="39" t="s">
        <v>138</v>
      </c>
      <c r="D184" s="39" t="s">
        <v>137</v>
      </c>
      <c r="E184" s="65" t="s">
        <v>4</v>
      </c>
      <c r="F184" s="71">
        <v>12</v>
      </c>
      <c r="G184" s="72">
        <v>13.5</v>
      </c>
      <c r="H184" s="73">
        <v>15.5</v>
      </c>
      <c r="I184" s="74">
        <v>16</v>
      </c>
      <c r="J184" s="73">
        <v>17</v>
      </c>
      <c r="K184" s="72">
        <v>18</v>
      </c>
      <c r="L184" s="71">
        <v>18.5</v>
      </c>
    </row>
    <row r="185" spans="1:12" hidden="1" outlineLevel="1" x14ac:dyDescent="0.2">
      <c r="A185" s="76"/>
      <c r="B185" s="39" t="s">
        <v>131</v>
      </c>
      <c r="C185" s="39" t="s">
        <v>138</v>
      </c>
      <c r="D185" s="39" t="s">
        <v>137</v>
      </c>
      <c r="E185" s="65" t="s">
        <v>14</v>
      </c>
      <c r="F185" s="71">
        <v>7.5</v>
      </c>
      <c r="G185" s="72">
        <v>8.5</v>
      </c>
      <c r="H185" s="73">
        <v>10</v>
      </c>
      <c r="I185" s="74">
        <v>10</v>
      </c>
      <c r="J185" s="73">
        <v>10.5</v>
      </c>
      <c r="K185" s="72">
        <v>11.5</v>
      </c>
      <c r="L185" s="71">
        <v>12</v>
      </c>
    </row>
    <row r="186" spans="1:12" hidden="1" outlineLevel="1" x14ac:dyDescent="0.2">
      <c r="A186" s="76"/>
      <c r="B186" s="39" t="s">
        <v>131</v>
      </c>
      <c r="C186" s="39" t="s">
        <v>138</v>
      </c>
      <c r="D186" s="39" t="s">
        <v>137</v>
      </c>
      <c r="E186" s="65" t="s">
        <v>0</v>
      </c>
      <c r="F186" s="71">
        <v>14</v>
      </c>
      <c r="G186" s="72">
        <v>18</v>
      </c>
      <c r="H186" s="73">
        <v>19.5</v>
      </c>
      <c r="I186" s="74">
        <v>19.5</v>
      </c>
      <c r="J186" s="73">
        <v>20.5</v>
      </c>
      <c r="K186" s="72">
        <v>22</v>
      </c>
      <c r="L186" s="71">
        <v>23</v>
      </c>
    </row>
    <row r="187" spans="1:12" hidden="1" outlineLevel="1" x14ac:dyDescent="0.2">
      <c r="A187" s="76"/>
    </row>
    <row r="188" spans="1:12" collapsed="1" x14ac:dyDescent="0.2">
      <c r="A188" s="76">
        <v>304</v>
      </c>
      <c r="B188" s="39" t="s">
        <v>131</v>
      </c>
      <c r="C188" s="39" t="s">
        <v>139</v>
      </c>
      <c r="D188" s="39" t="s">
        <v>137</v>
      </c>
      <c r="E188" s="154" t="s">
        <v>189</v>
      </c>
    </row>
    <row r="189" spans="1:12" hidden="1" outlineLevel="1" x14ac:dyDescent="0.2">
      <c r="A189" s="76"/>
      <c r="B189" s="39" t="s">
        <v>131</v>
      </c>
      <c r="C189" s="39" t="s">
        <v>139</v>
      </c>
      <c r="D189" s="39" t="s">
        <v>137</v>
      </c>
      <c r="E189" s="65" t="s">
        <v>104</v>
      </c>
      <c r="F189" s="66">
        <v>0.495</v>
      </c>
      <c r="G189" s="67">
        <v>0.52500000000000002</v>
      </c>
      <c r="H189" s="68">
        <v>0.55500000000000005</v>
      </c>
      <c r="I189" s="69">
        <v>0.56000000000000005</v>
      </c>
      <c r="J189" s="68">
        <v>0.57499999999999996</v>
      </c>
      <c r="K189" s="67">
        <v>0.61</v>
      </c>
      <c r="L189" s="66">
        <v>0.63</v>
      </c>
    </row>
    <row r="190" spans="1:12" hidden="1" outlineLevel="1" x14ac:dyDescent="0.2">
      <c r="A190" s="76"/>
      <c r="B190" s="39" t="s">
        <v>131</v>
      </c>
      <c r="C190" s="39" t="s">
        <v>139</v>
      </c>
      <c r="D190" s="39" t="s">
        <v>137</v>
      </c>
      <c r="E190" s="65" t="s">
        <v>105</v>
      </c>
      <c r="F190" s="69"/>
      <c r="G190" s="69"/>
      <c r="H190" s="68">
        <v>0.01</v>
      </c>
      <c r="I190" s="69">
        <v>0.01</v>
      </c>
      <c r="J190" s="68">
        <v>1.4999999999999999E-2</v>
      </c>
      <c r="K190" s="67">
        <v>0.02</v>
      </c>
      <c r="L190" s="66">
        <v>2.5000000000000001E-2</v>
      </c>
    </row>
    <row r="191" spans="1:12" hidden="1" outlineLevel="1" x14ac:dyDescent="0.2">
      <c r="A191" s="76"/>
      <c r="B191" s="39" t="s">
        <v>131</v>
      </c>
      <c r="C191" s="39" t="s">
        <v>139</v>
      </c>
      <c r="D191" s="39" t="s">
        <v>137</v>
      </c>
      <c r="E191" s="65" t="s">
        <v>106</v>
      </c>
      <c r="F191" s="69"/>
      <c r="G191" s="69"/>
      <c r="H191" s="68">
        <v>7.0000000000000007E-2</v>
      </c>
      <c r="I191" s="69">
        <v>7.4999999999999997E-2</v>
      </c>
      <c r="J191" s="68">
        <v>0.08</v>
      </c>
      <c r="K191" s="67">
        <v>0.1</v>
      </c>
      <c r="L191" s="66">
        <v>0.11</v>
      </c>
    </row>
    <row r="192" spans="1:12" hidden="1" outlineLevel="1" x14ac:dyDescent="0.2">
      <c r="A192" s="76"/>
      <c r="B192" s="39" t="s">
        <v>131</v>
      </c>
      <c r="C192" s="39" t="s">
        <v>139</v>
      </c>
      <c r="D192" s="39" t="s">
        <v>137</v>
      </c>
      <c r="E192" s="65" t="s">
        <v>107</v>
      </c>
      <c r="F192" s="69"/>
      <c r="G192" s="69"/>
      <c r="H192" s="69"/>
      <c r="I192" s="69">
        <v>6.5000000000000002E-2</v>
      </c>
      <c r="J192" s="69"/>
      <c r="K192" s="67">
        <v>8.5000000000000006E-2</v>
      </c>
      <c r="L192" s="66">
        <v>0.1</v>
      </c>
    </row>
    <row r="193" spans="1:12" hidden="1" outlineLevel="1" x14ac:dyDescent="0.2">
      <c r="A193" s="76"/>
      <c r="B193" s="39" t="s">
        <v>131</v>
      </c>
      <c r="C193" s="39" t="s">
        <v>139</v>
      </c>
      <c r="D193" s="39" t="s">
        <v>137</v>
      </c>
      <c r="E193" s="65" t="s">
        <v>108</v>
      </c>
      <c r="F193" s="69"/>
      <c r="G193" s="69"/>
      <c r="H193" s="69"/>
      <c r="I193" s="69">
        <v>1.4999999999999999E-2</v>
      </c>
      <c r="J193" s="69"/>
      <c r="K193" s="67">
        <v>0.03</v>
      </c>
      <c r="L193" s="66">
        <v>5.5E-2</v>
      </c>
    </row>
    <row r="194" spans="1:12" hidden="1" outlineLevel="1" x14ac:dyDescent="0.2">
      <c r="A194" s="76"/>
      <c r="B194" s="39" t="s">
        <v>131</v>
      </c>
      <c r="C194" s="39" t="s">
        <v>139</v>
      </c>
      <c r="D194" s="39" t="s">
        <v>137</v>
      </c>
      <c r="E194" s="65" t="s">
        <v>109</v>
      </c>
      <c r="F194" s="69"/>
      <c r="G194" s="69"/>
      <c r="H194" s="69"/>
      <c r="I194" s="69">
        <v>5.5E-2</v>
      </c>
      <c r="J194" s="69"/>
      <c r="K194" s="67">
        <v>7.0000000000000007E-2</v>
      </c>
      <c r="L194" s="66">
        <v>0.08</v>
      </c>
    </row>
    <row r="195" spans="1:12" hidden="1" outlineLevel="1" x14ac:dyDescent="0.2">
      <c r="A195" s="76"/>
      <c r="B195" s="39" t="s">
        <v>131</v>
      </c>
      <c r="C195" s="39" t="s">
        <v>139</v>
      </c>
      <c r="D195" s="39" t="s">
        <v>137</v>
      </c>
      <c r="E195" s="65" t="s">
        <v>110</v>
      </c>
      <c r="F195" s="66">
        <v>0.05</v>
      </c>
      <c r="G195" s="67">
        <v>0.06</v>
      </c>
      <c r="H195" s="68">
        <v>7.4999999999999997E-2</v>
      </c>
      <c r="I195" s="69">
        <v>8.5000000000000006E-2</v>
      </c>
      <c r="J195" s="68">
        <v>0.09</v>
      </c>
      <c r="K195" s="69"/>
      <c r="L195" s="69"/>
    </row>
    <row r="196" spans="1:12" hidden="1" outlineLevel="1" x14ac:dyDescent="0.2">
      <c r="A196" s="76"/>
      <c r="B196" s="39" t="s">
        <v>131</v>
      </c>
      <c r="C196" s="39" t="s">
        <v>139</v>
      </c>
      <c r="D196" s="39" t="s">
        <v>137</v>
      </c>
      <c r="E196" s="65" t="s">
        <v>111</v>
      </c>
      <c r="F196" s="69"/>
      <c r="G196" s="69"/>
      <c r="H196" s="69"/>
      <c r="I196" s="69">
        <v>0.01</v>
      </c>
      <c r="J196" s="69"/>
      <c r="K196" s="67">
        <v>1.4999999999999999E-2</v>
      </c>
      <c r="L196" s="66">
        <v>0.02</v>
      </c>
    </row>
    <row r="197" spans="1:12" hidden="1" outlineLevel="1" x14ac:dyDescent="0.2">
      <c r="A197" s="76"/>
      <c r="B197" s="39" t="s">
        <v>131</v>
      </c>
      <c r="C197" s="39" t="s">
        <v>139</v>
      </c>
      <c r="D197" s="39" t="s">
        <v>137</v>
      </c>
      <c r="E197" s="65" t="s">
        <v>34</v>
      </c>
      <c r="F197" s="69"/>
      <c r="G197" s="69"/>
      <c r="H197" s="68">
        <v>5.5E-2</v>
      </c>
      <c r="I197" s="69">
        <v>0.06</v>
      </c>
      <c r="J197" s="68">
        <v>6.5000000000000002E-2</v>
      </c>
      <c r="K197" s="67">
        <v>7.4999999999999997E-2</v>
      </c>
      <c r="L197" s="66">
        <v>8.5000000000000006E-2</v>
      </c>
    </row>
    <row r="198" spans="1:12" hidden="1" outlineLevel="1" x14ac:dyDescent="0.2">
      <c r="A198" s="76"/>
      <c r="B198" s="39" t="s">
        <v>131</v>
      </c>
      <c r="C198" s="39" t="s">
        <v>139</v>
      </c>
      <c r="D198" s="39" t="s">
        <v>137</v>
      </c>
      <c r="E198" s="65" t="s">
        <v>4</v>
      </c>
      <c r="F198" s="71">
        <v>15</v>
      </c>
      <c r="G198" s="72">
        <v>15.5</v>
      </c>
      <c r="H198" s="73">
        <v>16.5</v>
      </c>
      <c r="I198" s="74">
        <v>17</v>
      </c>
      <c r="J198" s="73">
        <v>17.5</v>
      </c>
      <c r="K198" s="72">
        <v>18.5</v>
      </c>
      <c r="L198" s="71">
        <v>19</v>
      </c>
    </row>
    <row r="199" spans="1:12" hidden="1" outlineLevel="1" x14ac:dyDescent="0.2">
      <c r="A199" s="76"/>
      <c r="B199" s="39" t="s">
        <v>131</v>
      </c>
      <c r="C199" s="39" t="s">
        <v>139</v>
      </c>
      <c r="D199" s="39" t="s">
        <v>137</v>
      </c>
      <c r="E199" s="65" t="s">
        <v>14</v>
      </c>
      <c r="F199" s="71">
        <v>9</v>
      </c>
      <c r="G199" s="72">
        <v>9.5</v>
      </c>
      <c r="H199" s="73">
        <v>10.5</v>
      </c>
      <c r="I199" s="74">
        <v>10.5</v>
      </c>
      <c r="J199" s="73">
        <v>11</v>
      </c>
      <c r="K199" s="72">
        <v>11.5</v>
      </c>
      <c r="L199" s="71">
        <v>12.5</v>
      </c>
    </row>
    <row r="200" spans="1:12" hidden="1" outlineLevel="1" x14ac:dyDescent="0.2">
      <c r="A200" s="76"/>
      <c r="B200" s="39" t="s">
        <v>131</v>
      </c>
      <c r="C200" s="39" t="s">
        <v>139</v>
      </c>
      <c r="D200" s="39" t="s">
        <v>137</v>
      </c>
      <c r="E200" s="65" t="s">
        <v>0</v>
      </c>
      <c r="F200" s="71">
        <v>19.5</v>
      </c>
      <c r="G200" s="72">
        <v>20</v>
      </c>
      <c r="H200" s="73">
        <v>21</v>
      </c>
      <c r="I200" s="74">
        <v>21.5</v>
      </c>
      <c r="J200" s="73">
        <v>21.5</v>
      </c>
      <c r="K200" s="72">
        <v>22.5</v>
      </c>
      <c r="L200" s="71">
        <v>23.5</v>
      </c>
    </row>
    <row r="201" spans="1:12" hidden="1" outlineLevel="1" x14ac:dyDescent="0.2">
      <c r="A201" s="76"/>
    </row>
    <row r="202" spans="1:12" collapsed="1" x14ac:dyDescent="0.2">
      <c r="A202" s="76">
        <v>206</v>
      </c>
      <c r="B202" s="39" t="s">
        <v>131</v>
      </c>
      <c r="C202" s="39" t="s">
        <v>140</v>
      </c>
      <c r="D202" s="39" t="s">
        <v>137</v>
      </c>
      <c r="E202" s="154" t="s">
        <v>190</v>
      </c>
    </row>
    <row r="203" spans="1:12" hidden="1" outlineLevel="1" x14ac:dyDescent="0.2">
      <c r="A203" s="76"/>
      <c r="B203" s="39" t="s">
        <v>131</v>
      </c>
      <c r="C203" s="39" t="s">
        <v>140</v>
      </c>
      <c r="D203" s="39" t="s">
        <v>137</v>
      </c>
      <c r="E203" s="65" t="s">
        <v>104</v>
      </c>
      <c r="F203" s="66">
        <v>0.505</v>
      </c>
      <c r="G203" s="67">
        <v>0.53</v>
      </c>
      <c r="H203" s="68">
        <v>0.56000000000000005</v>
      </c>
      <c r="I203" s="69">
        <v>0.57499999999999996</v>
      </c>
      <c r="J203" s="68">
        <v>0.59</v>
      </c>
      <c r="K203" s="67">
        <v>0.61</v>
      </c>
      <c r="L203" s="66">
        <v>0.625</v>
      </c>
    </row>
    <row r="204" spans="1:12" hidden="1" outlineLevel="1" x14ac:dyDescent="0.2">
      <c r="A204" s="76"/>
      <c r="B204" s="39" t="s">
        <v>131</v>
      </c>
      <c r="C204" s="39" t="s">
        <v>140</v>
      </c>
      <c r="D204" s="39" t="s">
        <v>137</v>
      </c>
      <c r="E204" s="65" t="s">
        <v>105</v>
      </c>
      <c r="F204" s="69"/>
      <c r="G204" s="69"/>
      <c r="H204" s="68">
        <v>0.01</v>
      </c>
      <c r="I204" s="69">
        <v>0.01</v>
      </c>
      <c r="J204" s="68">
        <v>1.4999999999999999E-2</v>
      </c>
      <c r="K204" s="67">
        <v>0.02</v>
      </c>
      <c r="L204" s="66">
        <v>0.03</v>
      </c>
    </row>
    <row r="205" spans="1:12" hidden="1" outlineLevel="1" x14ac:dyDescent="0.2">
      <c r="A205" s="76"/>
      <c r="B205" s="39" t="s">
        <v>131</v>
      </c>
      <c r="C205" s="39" t="s">
        <v>140</v>
      </c>
      <c r="D205" s="39" t="s">
        <v>137</v>
      </c>
      <c r="E205" s="65" t="s">
        <v>106</v>
      </c>
      <c r="F205" s="69"/>
      <c r="G205" s="69"/>
      <c r="H205" s="68">
        <v>7.4999999999999997E-2</v>
      </c>
      <c r="I205" s="69">
        <v>0.08</v>
      </c>
      <c r="J205" s="68">
        <v>0.09</v>
      </c>
      <c r="K205" s="67">
        <v>0.11</v>
      </c>
      <c r="L205" s="66">
        <v>0.12</v>
      </c>
    </row>
    <row r="206" spans="1:12" hidden="1" outlineLevel="1" x14ac:dyDescent="0.2">
      <c r="A206" s="76"/>
      <c r="B206" s="39" t="s">
        <v>131</v>
      </c>
      <c r="C206" s="39" t="s">
        <v>140</v>
      </c>
      <c r="D206" s="39" t="s">
        <v>137</v>
      </c>
      <c r="E206" s="65" t="s">
        <v>107</v>
      </c>
      <c r="F206" s="69"/>
      <c r="G206" s="69"/>
      <c r="H206" s="69"/>
      <c r="I206" s="69">
        <v>0.06</v>
      </c>
      <c r="J206" s="69"/>
      <c r="K206" s="67">
        <v>0.08</v>
      </c>
      <c r="L206" s="66">
        <v>9.5000000000000001E-2</v>
      </c>
    </row>
    <row r="207" spans="1:12" hidden="1" outlineLevel="1" x14ac:dyDescent="0.2">
      <c r="A207" s="76"/>
      <c r="B207" s="39" t="s">
        <v>131</v>
      </c>
      <c r="C207" s="39" t="s">
        <v>140</v>
      </c>
      <c r="D207" s="39" t="s">
        <v>137</v>
      </c>
      <c r="E207" s="65" t="s">
        <v>108</v>
      </c>
      <c r="F207" s="69"/>
      <c r="G207" s="69"/>
      <c r="H207" s="69"/>
      <c r="I207" s="69">
        <v>1.4999999999999999E-2</v>
      </c>
      <c r="J207" s="69"/>
      <c r="K207" s="67">
        <v>3.5000000000000003E-2</v>
      </c>
      <c r="L207" s="66">
        <v>5.5E-2</v>
      </c>
    </row>
    <row r="208" spans="1:12" hidden="1" outlineLevel="1" x14ac:dyDescent="0.2">
      <c r="A208" s="76"/>
      <c r="B208" s="39" t="s">
        <v>131</v>
      </c>
      <c r="C208" s="39" t="s">
        <v>140</v>
      </c>
      <c r="D208" s="39" t="s">
        <v>137</v>
      </c>
      <c r="E208" s="65" t="s">
        <v>109</v>
      </c>
      <c r="F208" s="69"/>
      <c r="G208" s="69"/>
      <c r="H208" s="69"/>
      <c r="I208" s="69">
        <v>5.5E-2</v>
      </c>
      <c r="J208" s="69"/>
      <c r="K208" s="67">
        <v>6.5000000000000002E-2</v>
      </c>
      <c r="L208" s="66">
        <v>0.08</v>
      </c>
    </row>
    <row r="209" spans="1:12" hidden="1" outlineLevel="1" x14ac:dyDescent="0.2">
      <c r="A209" s="76"/>
      <c r="B209" s="39" t="s">
        <v>131</v>
      </c>
      <c r="C209" s="39" t="s">
        <v>140</v>
      </c>
      <c r="D209" s="39" t="s">
        <v>137</v>
      </c>
      <c r="E209" s="65" t="s">
        <v>110</v>
      </c>
      <c r="F209" s="66">
        <v>0.05</v>
      </c>
      <c r="G209" s="67">
        <v>5.5E-2</v>
      </c>
      <c r="H209" s="68">
        <v>7.0000000000000007E-2</v>
      </c>
      <c r="I209" s="69">
        <v>7.4999999999999997E-2</v>
      </c>
      <c r="J209" s="68">
        <v>8.5000000000000006E-2</v>
      </c>
      <c r="K209" s="69"/>
      <c r="L209" s="69"/>
    </row>
    <row r="210" spans="1:12" hidden="1" outlineLevel="1" x14ac:dyDescent="0.2">
      <c r="A210" s="76"/>
      <c r="B210" s="39" t="s">
        <v>131</v>
      </c>
      <c r="C210" s="39" t="s">
        <v>140</v>
      </c>
      <c r="D210" s="39" t="s">
        <v>137</v>
      </c>
      <c r="E210" s="65" t="s">
        <v>111</v>
      </c>
      <c r="F210" s="69"/>
      <c r="G210" s="69"/>
      <c r="H210" s="69"/>
      <c r="I210" s="69">
        <v>0.01</v>
      </c>
      <c r="J210" s="69"/>
      <c r="K210" s="67">
        <v>1.4999999999999999E-2</v>
      </c>
      <c r="L210" s="66">
        <v>0.02</v>
      </c>
    </row>
    <row r="211" spans="1:12" hidden="1" outlineLevel="1" x14ac:dyDescent="0.2">
      <c r="A211" s="76"/>
      <c r="B211" s="39" t="s">
        <v>131</v>
      </c>
      <c r="C211" s="39" t="s">
        <v>140</v>
      </c>
      <c r="D211" s="39" t="s">
        <v>137</v>
      </c>
      <c r="E211" s="65" t="s">
        <v>34</v>
      </c>
      <c r="F211" s="69"/>
      <c r="G211" s="69"/>
      <c r="H211" s="68">
        <v>0.05</v>
      </c>
      <c r="I211" s="69">
        <v>5.5E-2</v>
      </c>
      <c r="J211" s="68">
        <v>5.5E-2</v>
      </c>
      <c r="K211" s="67">
        <v>6.5000000000000002E-2</v>
      </c>
      <c r="L211" s="66">
        <v>7.4999999999999997E-2</v>
      </c>
    </row>
    <row r="212" spans="1:12" hidden="1" outlineLevel="1" x14ac:dyDescent="0.2">
      <c r="A212" s="76"/>
      <c r="B212" s="39" t="s">
        <v>131</v>
      </c>
      <c r="C212" s="39" t="s">
        <v>140</v>
      </c>
      <c r="D212" s="39" t="s">
        <v>137</v>
      </c>
      <c r="E212" s="65" t="s">
        <v>4</v>
      </c>
      <c r="F212" s="71">
        <v>15.5</v>
      </c>
      <c r="G212" s="72">
        <v>16</v>
      </c>
      <c r="H212" s="73">
        <v>16.5</v>
      </c>
      <c r="I212" s="74">
        <v>17</v>
      </c>
      <c r="J212" s="73">
        <v>17</v>
      </c>
      <c r="K212" s="72">
        <v>18</v>
      </c>
      <c r="L212" s="71">
        <v>18.5</v>
      </c>
    </row>
    <row r="213" spans="1:12" hidden="1" outlineLevel="1" x14ac:dyDescent="0.2">
      <c r="A213" s="76"/>
      <c r="B213" s="39" t="s">
        <v>131</v>
      </c>
      <c r="C213" s="39" t="s">
        <v>140</v>
      </c>
      <c r="D213" s="39" t="s">
        <v>137</v>
      </c>
      <c r="E213" s="65" t="s">
        <v>14</v>
      </c>
      <c r="F213" s="71">
        <v>9</v>
      </c>
      <c r="G213" s="72">
        <v>9.5</v>
      </c>
      <c r="H213" s="73">
        <v>10</v>
      </c>
      <c r="I213" s="74">
        <v>10.5</v>
      </c>
      <c r="J213" s="73">
        <v>10.5</v>
      </c>
      <c r="K213" s="72">
        <v>11</v>
      </c>
      <c r="L213" s="71">
        <v>12</v>
      </c>
    </row>
    <row r="214" spans="1:12" hidden="1" outlineLevel="1" x14ac:dyDescent="0.2">
      <c r="A214" s="76"/>
      <c r="B214" s="39" t="s">
        <v>131</v>
      </c>
      <c r="C214" s="39" t="s">
        <v>140</v>
      </c>
      <c r="D214" s="39" t="s">
        <v>137</v>
      </c>
      <c r="E214" s="65" t="s">
        <v>0</v>
      </c>
      <c r="F214" s="71">
        <v>19.5</v>
      </c>
      <c r="G214" s="72">
        <v>20</v>
      </c>
      <c r="H214" s="73">
        <v>20.5</v>
      </c>
      <c r="I214" s="74">
        <v>21</v>
      </c>
      <c r="J214" s="73">
        <v>21.5</v>
      </c>
      <c r="K214" s="72">
        <v>22.5</v>
      </c>
      <c r="L214" s="71">
        <v>23.5</v>
      </c>
    </row>
    <row r="215" spans="1:12" hidden="1" outlineLevel="1" x14ac:dyDescent="0.2">
      <c r="A215" s="76"/>
    </row>
    <row r="216" spans="1:12" collapsed="1" x14ac:dyDescent="0.2">
      <c r="A216" s="76">
        <v>36</v>
      </c>
      <c r="B216" s="39" t="s">
        <v>132</v>
      </c>
      <c r="C216" s="39" t="s">
        <v>138</v>
      </c>
      <c r="D216" s="39" t="s">
        <v>137</v>
      </c>
      <c r="E216" s="154" t="s">
        <v>191</v>
      </c>
    </row>
    <row r="217" spans="1:12" hidden="1" outlineLevel="1" x14ac:dyDescent="0.2">
      <c r="A217" s="76"/>
      <c r="B217" s="39" t="s">
        <v>132</v>
      </c>
      <c r="C217" s="39" t="s">
        <v>138</v>
      </c>
      <c r="D217" s="39" t="s">
        <v>137</v>
      </c>
      <c r="E217" s="65" t="s">
        <v>104</v>
      </c>
      <c r="F217" s="66">
        <v>0.44500000000000001</v>
      </c>
      <c r="G217" s="67">
        <v>0.495</v>
      </c>
      <c r="H217" s="68">
        <v>0.52500000000000002</v>
      </c>
      <c r="I217" s="69">
        <v>0.54500000000000004</v>
      </c>
      <c r="J217" s="68">
        <v>0.55000000000000004</v>
      </c>
      <c r="K217" s="67">
        <v>0.57999999999999996</v>
      </c>
      <c r="L217" s="66">
        <v>0.6</v>
      </c>
    </row>
    <row r="218" spans="1:12" hidden="1" outlineLevel="1" x14ac:dyDescent="0.2">
      <c r="A218" s="76"/>
      <c r="B218" s="39" t="s">
        <v>132</v>
      </c>
      <c r="C218" s="39" t="s">
        <v>138</v>
      </c>
      <c r="D218" s="39" t="s">
        <v>137</v>
      </c>
      <c r="E218" s="65" t="s">
        <v>105</v>
      </c>
      <c r="F218" s="69"/>
      <c r="G218" s="69"/>
      <c r="H218" s="68">
        <v>0.01</v>
      </c>
      <c r="I218" s="69">
        <v>1.4999999999999999E-2</v>
      </c>
      <c r="J218" s="68">
        <v>2.5000000000000001E-2</v>
      </c>
      <c r="K218" s="67">
        <v>0.04</v>
      </c>
      <c r="L218" s="66">
        <v>0.05</v>
      </c>
    </row>
    <row r="219" spans="1:12" hidden="1" outlineLevel="1" x14ac:dyDescent="0.2">
      <c r="A219" s="76"/>
      <c r="B219" s="39" t="s">
        <v>132</v>
      </c>
      <c r="C219" s="39" t="s">
        <v>138</v>
      </c>
      <c r="D219" s="39" t="s">
        <v>137</v>
      </c>
      <c r="E219" s="65" t="s">
        <v>106</v>
      </c>
      <c r="F219" s="69"/>
      <c r="G219" s="69"/>
      <c r="H219" s="68">
        <v>0.09</v>
      </c>
      <c r="I219" s="69">
        <v>9.5000000000000001E-2</v>
      </c>
      <c r="J219" s="68">
        <v>0.1</v>
      </c>
      <c r="K219" s="67">
        <v>0.125</v>
      </c>
      <c r="L219" s="66">
        <v>0.14499999999999999</v>
      </c>
    </row>
    <row r="220" spans="1:12" hidden="1" outlineLevel="1" x14ac:dyDescent="0.2">
      <c r="A220" s="76"/>
      <c r="B220" s="39" t="s">
        <v>132</v>
      </c>
      <c r="C220" s="39" t="s">
        <v>138</v>
      </c>
      <c r="D220" s="39" t="s">
        <v>137</v>
      </c>
      <c r="E220" s="65" t="s">
        <v>107</v>
      </c>
      <c r="F220" s="69"/>
      <c r="G220" s="69"/>
      <c r="H220" s="69"/>
      <c r="I220" s="69">
        <v>6.5000000000000002E-2</v>
      </c>
      <c r="J220" s="69"/>
      <c r="K220" s="67">
        <v>8.5000000000000006E-2</v>
      </c>
      <c r="L220" s="66">
        <v>0.09</v>
      </c>
    </row>
    <row r="221" spans="1:12" hidden="1" outlineLevel="1" x14ac:dyDescent="0.2">
      <c r="A221" s="76"/>
      <c r="B221" s="39" t="s">
        <v>132</v>
      </c>
      <c r="C221" s="39" t="s">
        <v>138</v>
      </c>
      <c r="D221" s="39" t="s">
        <v>137</v>
      </c>
      <c r="E221" s="65" t="s">
        <v>108</v>
      </c>
      <c r="F221" s="69"/>
      <c r="G221" s="69"/>
      <c r="H221" s="69"/>
      <c r="I221" s="69">
        <v>0.02</v>
      </c>
      <c r="J221" s="69"/>
      <c r="K221" s="67">
        <v>0.04</v>
      </c>
      <c r="L221" s="66">
        <v>6.5000000000000002E-2</v>
      </c>
    </row>
    <row r="222" spans="1:12" hidden="1" outlineLevel="1" x14ac:dyDescent="0.2">
      <c r="A222" s="76"/>
      <c r="B222" s="39" t="s">
        <v>132</v>
      </c>
      <c r="C222" s="39" t="s">
        <v>138</v>
      </c>
      <c r="D222" s="39" t="s">
        <v>137</v>
      </c>
      <c r="E222" s="65" t="s">
        <v>109</v>
      </c>
      <c r="F222" s="69"/>
      <c r="G222" s="69"/>
      <c r="H222" s="69"/>
      <c r="I222" s="69">
        <v>5.5E-2</v>
      </c>
      <c r="J222" s="69"/>
      <c r="K222" s="67">
        <v>0.08</v>
      </c>
      <c r="L222" s="66">
        <v>0.1</v>
      </c>
    </row>
    <row r="223" spans="1:12" hidden="1" outlineLevel="1" x14ac:dyDescent="0.2">
      <c r="A223" s="76"/>
      <c r="B223" s="39" t="s">
        <v>132</v>
      </c>
      <c r="C223" s="39" t="s">
        <v>138</v>
      </c>
      <c r="D223" s="39" t="s">
        <v>137</v>
      </c>
      <c r="E223" s="65" t="s">
        <v>110</v>
      </c>
      <c r="F223" s="66">
        <v>3.5000000000000003E-2</v>
      </c>
      <c r="G223" s="67">
        <v>4.4999999999999998E-2</v>
      </c>
      <c r="H223" s="68">
        <v>0.05</v>
      </c>
      <c r="I223" s="69">
        <v>0.06</v>
      </c>
      <c r="J223" s="68">
        <v>7.0000000000000007E-2</v>
      </c>
      <c r="K223" s="69"/>
      <c r="L223" s="69"/>
    </row>
    <row r="224" spans="1:12" hidden="1" outlineLevel="1" x14ac:dyDescent="0.2">
      <c r="A224" s="76"/>
      <c r="B224" s="39" t="s">
        <v>132</v>
      </c>
      <c r="C224" s="39" t="s">
        <v>138</v>
      </c>
      <c r="D224" s="39" t="s">
        <v>137</v>
      </c>
      <c r="E224" s="65" t="s">
        <v>111</v>
      </c>
      <c r="F224" s="69"/>
      <c r="G224" s="69"/>
      <c r="H224" s="69"/>
      <c r="I224" s="69">
        <v>0.01</v>
      </c>
      <c r="J224" s="69"/>
      <c r="K224" s="67">
        <v>1.4999999999999999E-2</v>
      </c>
      <c r="L224" s="66">
        <v>0.02</v>
      </c>
    </row>
    <row r="225" spans="1:12" hidden="1" outlineLevel="1" x14ac:dyDescent="0.2">
      <c r="A225" s="76"/>
      <c r="B225" s="39" t="s">
        <v>132</v>
      </c>
      <c r="C225" s="39" t="s">
        <v>138</v>
      </c>
      <c r="D225" s="39" t="s">
        <v>137</v>
      </c>
      <c r="E225" s="65" t="s">
        <v>34</v>
      </c>
      <c r="F225" s="69"/>
      <c r="G225" s="69"/>
      <c r="H225" s="68">
        <v>7.0000000000000007E-2</v>
      </c>
      <c r="I225" s="69">
        <v>8.5000000000000006E-2</v>
      </c>
      <c r="J225" s="68">
        <v>0.09</v>
      </c>
      <c r="K225" s="67">
        <v>0.11</v>
      </c>
      <c r="L225" s="66">
        <v>0.125</v>
      </c>
    </row>
    <row r="226" spans="1:12" hidden="1" outlineLevel="1" x14ac:dyDescent="0.2">
      <c r="A226" s="76"/>
      <c r="B226" s="39" t="s">
        <v>132</v>
      </c>
      <c r="C226" s="39" t="s">
        <v>138</v>
      </c>
      <c r="D226" s="39" t="s">
        <v>137</v>
      </c>
      <c r="E226" s="65" t="s">
        <v>4</v>
      </c>
      <c r="F226" s="71">
        <v>13</v>
      </c>
      <c r="G226" s="72">
        <v>15</v>
      </c>
      <c r="H226" s="73">
        <v>17</v>
      </c>
      <c r="I226" s="74">
        <v>17.5</v>
      </c>
      <c r="J226" s="73">
        <v>18</v>
      </c>
      <c r="K226" s="72">
        <v>19.5</v>
      </c>
      <c r="L226" s="71">
        <v>20.5</v>
      </c>
    </row>
    <row r="227" spans="1:12" hidden="1" outlineLevel="1" x14ac:dyDescent="0.2">
      <c r="A227" s="76"/>
      <c r="B227" s="39" t="s">
        <v>132</v>
      </c>
      <c r="C227" s="39" t="s">
        <v>138</v>
      </c>
      <c r="D227" s="39" t="s">
        <v>137</v>
      </c>
      <c r="E227" s="65" t="s">
        <v>14</v>
      </c>
      <c r="F227" s="71">
        <v>7</v>
      </c>
      <c r="G227" s="72">
        <v>8</v>
      </c>
      <c r="H227" s="73">
        <v>9.5</v>
      </c>
      <c r="I227" s="74">
        <v>10</v>
      </c>
      <c r="J227" s="73">
        <v>10.5</v>
      </c>
      <c r="K227" s="72">
        <v>11</v>
      </c>
      <c r="L227" s="71">
        <v>11.5</v>
      </c>
    </row>
    <row r="228" spans="1:12" hidden="1" outlineLevel="1" x14ac:dyDescent="0.2">
      <c r="A228" s="76"/>
      <c r="B228" s="39" t="s">
        <v>132</v>
      </c>
      <c r="C228" s="39" t="s">
        <v>138</v>
      </c>
      <c r="D228" s="39" t="s">
        <v>137</v>
      </c>
      <c r="E228" s="65" t="s">
        <v>0</v>
      </c>
      <c r="F228" s="71">
        <v>19.5</v>
      </c>
      <c r="G228" s="72">
        <v>21.5</v>
      </c>
      <c r="H228" s="73">
        <v>23</v>
      </c>
      <c r="I228" s="74">
        <v>24</v>
      </c>
      <c r="J228" s="73">
        <v>25.5</v>
      </c>
      <c r="K228" s="72">
        <v>27</v>
      </c>
      <c r="L228" s="71">
        <v>27.5</v>
      </c>
    </row>
    <row r="229" spans="1:12" hidden="1" outlineLevel="1" x14ac:dyDescent="0.2">
      <c r="A229" s="76"/>
    </row>
    <row r="230" spans="1:12" collapsed="1" x14ac:dyDescent="0.2">
      <c r="A230" s="76">
        <v>95</v>
      </c>
      <c r="B230" s="39" t="s">
        <v>132</v>
      </c>
      <c r="C230" s="39" t="s">
        <v>139</v>
      </c>
      <c r="D230" s="39" t="s">
        <v>137</v>
      </c>
      <c r="E230" s="154" t="s">
        <v>192</v>
      </c>
    </row>
    <row r="231" spans="1:12" hidden="1" outlineLevel="1" x14ac:dyDescent="0.2">
      <c r="A231" s="76"/>
      <c r="B231" s="39" t="s">
        <v>132</v>
      </c>
      <c r="C231" s="39" t="s">
        <v>139</v>
      </c>
      <c r="D231" s="39" t="s">
        <v>137</v>
      </c>
      <c r="E231" s="65" t="s">
        <v>104</v>
      </c>
      <c r="F231" s="66">
        <v>0.49</v>
      </c>
      <c r="G231" s="67">
        <v>0.505</v>
      </c>
      <c r="H231" s="68">
        <v>0.54500000000000004</v>
      </c>
      <c r="I231" s="69">
        <v>0.55000000000000004</v>
      </c>
      <c r="J231" s="68">
        <v>0.56999999999999995</v>
      </c>
      <c r="K231" s="67">
        <v>0.59499999999999997</v>
      </c>
      <c r="L231" s="66">
        <v>0.62</v>
      </c>
    </row>
    <row r="232" spans="1:12" hidden="1" outlineLevel="1" x14ac:dyDescent="0.2">
      <c r="A232" s="76"/>
      <c r="B232" s="39" t="s">
        <v>132</v>
      </c>
      <c r="C232" s="39" t="s">
        <v>139</v>
      </c>
      <c r="D232" s="39" t="s">
        <v>137</v>
      </c>
      <c r="E232" s="65" t="s">
        <v>105</v>
      </c>
      <c r="F232" s="69"/>
      <c r="G232" s="69"/>
      <c r="H232" s="68">
        <v>1.4999999999999999E-2</v>
      </c>
      <c r="I232" s="69">
        <v>1.4999999999999999E-2</v>
      </c>
      <c r="J232" s="68">
        <v>0.02</v>
      </c>
      <c r="K232" s="67">
        <v>2.5000000000000001E-2</v>
      </c>
      <c r="L232" s="66">
        <v>3.5000000000000003E-2</v>
      </c>
    </row>
    <row r="233" spans="1:12" hidden="1" outlineLevel="1" x14ac:dyDescent="0.2">
      <c r="A233" s="76"/>
      <c r="B233" s="39" t="s">
        <v>132</v>
      </c>
      <c r="C233" s="39" t="s">
        <v>139</v>
      </c>
      <c r="D233" s="39" t="s">
        <v>137</v>
      </c>
      <c r="E233" s="65" t="s">
        <v>106</v>
      </c>
      <c r="F233" s="69"/>
      <c r="G233" s="69"/>
      <c r="H233" s="68">
        <v>0.09</v>
      </c>
      <c r="I233" s="69">
        <v>0.09</v>
      </c>
      <c r="J233" s="68">
        <v>0.1</v>
      </c>
      <c r="K233" s="67">
        <v>0.125</v>
      </c>
      <c r="L233" s="66">
        <v>0.14000000000000001</v>
      </c>
    </row>
    <row r="234" spans="1:12" hidden="1" outlineLevel="1" x14ac:dyDescent="0.2">
      <c r="A234" s="76"/>
      <c r="B234" s="39" t="s">
        <v>132</v>
      </c>
      <c r="C234" s="39" t="s">
        <v>139</v>
      </c>
      <c r="D234" s="39" t="s">
        <v>137</v>
      </c>
      <c r="E234" s="65" t="s">
        <v>107</v>
      </c>
      <c r="F234" s="69"/>
      <c r="G234" s="69"/>
      <c r="H234" s="69"/>
      <c r="I234" s="69">
        <v>6.5000000000000002E-2</v>
      </c>
      <c r="J234" s="69"/>
      <c r="K234" s="67">
        <v>0.08</v>
      </c>
      <c r="L234" s="66">
        <v>0.1</v>
      </c>
    </row>
    <row r="235" spans="1:12" hidden="1" outlineLevel="1" x14ac:dyDescent="0.2">
      <c r="A235" s="76"/>
      <c r="B235" s="39" t="s">
        <v>132</v>
      </c>
      <c r="C235" s="39" t="s">
        <v>139</v>
      </c>
      <c r="D235" s="39" t="s">
        <v>137</v>
      </c>
      <c r="E235" s="65" t="s">
        <v>108</v>
      </c>
      <c r="F235" s="69"/>
      <c r="G235" s="69"/>
      <c r="H235" s="69"/>
      <c r="I235" s="69">
        <v>1.4999999999999999E-2</v>
      </c>
      <c r="J235" s="69"/>
      <c r="K235" s="67">
        <v>0.03</v>
      </c>
      <c r="L235" s="66">
        <v>0.04</v>
      </c>
    </row>
    <row r="236" spans="1:12" hidden="1" outlineLevel="1" x14ac:dyDescent="0.2">
      <c r="A236" s="76"/>
      <c r="B236" s="39" t="s">
        <v>132</v>
      </c>
      <c r="C236" s="39" t="s">
        <v>139</v>
      </c>
      <c r="D236" s="39" t="s">
        <v>137</v>
      </c>
      <c r="E236" s="65" t="s">
        <v>109</v>
      </c>
      <c r="F236" s="69"/>
      <c r="G236" s="69"/>
      <c r="H236" s="69"/>
      <c r="I236" s="69">
        <v>5.5E-2</v>
      </c>
      <c r="J236" s="69"/>
      <c r="K236" s="67">
        <v>7.0000000000000007E-2</v>
      </c>
      <c r="L236" s="66">
        <v>0.09</v>
      </c>
    </row>
    <row r="237" spans="1:12" hidden="1" outlineLevel="1" x14ac:dyDescent="0.2">
      <c r="A237" s="76"/>
      <c r="B237" s="39" t="s">
        <v>132</v>
      </c>
      <c r="C237" s="39" t="s">
        <v>139</v>
      </c>
      <c r="D237" s="39" t="s">
        <v>137</v>
      </c>
      <c r="E237" s="65" t="s">
        <v>110</v>
      </c>
      <c r="F237" s="66">
        <v>0.04</v>
      </c>
      <c r="G237" s="67">
        <v>0.05</v>
      </c>
      <c r="H237" s="68">
        <v>0.06</v>
      </c>
      <c r="I237" s="69">
        <v>6.5000000000000002E-2</v>
      </c>
      <c r="J237" s="68">
        <v>7.0000000000000007E-2</v>
      </c>
      <c r="K237" s="69"/>
      <c r="L237" s="69"/>
    </row>
    <row r="238" spans="1:12" hidden="1" outlineLevel="1" x14ac:dyDescent="0.2">
      <c r="A238" s="76"/>
      <c r="B238" s="39" t="s">
        <v>132</v>
      </c>
      <c r="C238" s="39" t="s">
        <v>139</v>
      </c>
      <c r="D238" s="39" t="s">
        <v>137</v>
      </c>
      <c r="E238" s="65" t="s">
        <v>111</v>
      </c>
      <c r="F238" s="69"/>
      <c r="G238" s="69"/>
      <c r="H238" s="69"/>
      <c r="I238" s="69">
        <v>0.01</v>
      </c>
      <c r="J238" s="69"/>
      <c r="K238" s="67">
        <v>1.4999999999999999E-2</v>
      </c>
      <c r="L238" s="66">
        <v>0.02</v>
      </c>
    </row>
    <row r="239" spans="1:12" hidden="1" outlineLevel="1" x14ac:dyDescent="0.2">
      <c r="A239" s="76"/>
      <c r="B239" s="39" t="s">
        <v>132</v>
      </c>
      <c r="C239" s="39" t="s">
        <v>139</v>
      </c>
      <c r="D239" s="39" t="s">
        <v>137</v>
      </c>
      <c r="E239" s="65" t="s">
        <v>34</v>
      </c>
      <c r="F239" s="69"/>
      <c r="G239" s="69"/>
      <c r="H239" s="68">
        <v>0.06</v>
      </c>
      <c r="I239" s="69">
        <v>0.06</v>
      </c>
      <c r="J239" s="68">
        <v>7.0000000000000007E-2</v>
      </c>
      <c r="K239" s="67">
        <v>8.5000000000000006E-2</v>
      </c>
      <c r="L239" s="66">
        <v>0.105</v>
      </c>
    </row>
    <row r="240" spans="1:12" hidden="1" outlineLevel="1" x14ac:dyDescent="0.2">
      <c r="A240" s="76"/>
      <c r="B240" s="39" t="s">
        <v>132</v>
      </c>
      <c r="C240" s="39" t="s">
        <v>139</v>
      </c>
      <c r="D240" s="39" t="s">
        <v>137</v>
      </c>
      <c r="E240" s="65" t="s">
        <v>4</v>
      </c>
      <c r="F240" s="71">
        <v>16</v>
      </c>
      <c r="G240" s="72">
        <v>16.5</v>
      </c>
      <c r="H240" s="73">
        <v>17</v>
      </c>
      <c r="I240" s="74">
        <v>17</v>
      </c>
      <c r="J240" s="73">
        <v>17.5</v>
      </c>
      <c r="K240" s="72">
        <v>18.5</v>
      </c>
      <c r="L240" s="71">
        <v>20</v>
      </c>
    </row>
    <row r="241" spans="1:12" hidden="1" outlineLevel="1" x14ac:dyDescent="0.2">
      <c r="A241" s="76"/>
      <c r="B241" s="39" t="s">
        <v>132</v>
      </c>
      <c r="C241" s="39" t="s">
        <v>139</v>
      </c>
      <c r="D241" s="39" t="s">
        <v>137</v>
      </c>
      <c r="E241" s="65" t="s">
        <v>14</v>
      </c>
      <c r="F241" s="71">
        <v>8.5</v>
      </c>
      <c r="G241" s="72">
        <v>9</v>
      </c>
      <c r="H241" s="73">
        <v>9.5</v>
      </c>
      <c r="I241" s="74">
        <v>10</v>
      </c>
      <c r="J241" s="73">
        <v>10</v>
      </c>
      <c r="K241" s="72">
        <v>11</v>
      </c>
      <c r="L241" s="71">
        <v>12</v>
      </c>
    </row>
    <row r="242" spans="1:12" hidden="1" outlineLevel="1" x14ac:dyDescent="0.2">
      <c r="A242" s="76"/>
      <c r="B242" s="39" t="s">
        <v>132</v>
      </c>
      <c r="C242" s="39" t="s">
        <v>139</v>
      </c>
      <c r="D242" s="39" t="s">
        <v>137</v>
      </c>
      <c r="E242" s="65" t="s">
        <v>0</v>
      </c>
      <c r="F242" s="71">
        <v>22</v>
      </c>
      <c r="G242" s="72">
        <v>22.5</v>
      </c>
      <c r="H242" s="73">
        <v>23.5</v>
      </c>
      <c r="I242" s="74">
        <v>24</v>
      </c>
      <c r="J242" s="73">
        <v>24.5</v>
      </c>
      <c r="K242" s="72">
        <v>25.5</v>
      </c>
      <c r="L242" s="71">
        <v>26.5</v>
      </c>
    </row>
    <row r="243" spans="1:12" hidden="1" outlineLevel="1" x14ac:dyDescent="0.2">
      <c r="A243" s="76"/>
    </row>
    <row r="244" spans="1:12" collapsed="1" x14ac:dyDescent="0.2">
      <c r="A244" s="76">
        <v>65</v>
      </c>
      <c r="B244" s="39" t="s">
        <v>132</v>
      </c>
      <c r="C244" s="39" t="s">
        <v>140</v>
      </c>
      <c r="D244" s="39" t="s">
        <v>137</v>
      </c>
      <c r="E244" s="154" t="s">
        <v>193</v>
      </c>
    </row>
    <row r="245" spans="1:12" hidden="1" outlineLevel="1" x14ac:dyDescent="0.2">
      <c r="A245" s="76"/>
      <c r="B245" s="39" t="s">
        <v>132</v>
      </c>
      <c r="C245" s="39" t="s">
        <v>140</v>
      </c>
      <c r="D245" s="39" t="s">
        <v>137</v>
      </c>
      <c r="E245" s="65" t="s">
        <v>104</v>
      </c>
      <c r="F245" s="66">
        <v>0.48499999999999999</v>
      </c>
      <c r="G245" s="67">
        <v>0.51500000000000001</v>
      </c>
      <c r="H245" s="68">
        <v>0.55000000000000004</v>
      </c>
      <c r="I245" s="69">
        <v>0.56000000000000005</v>
      </c>
      <c r="J245" s="68">
        <v>0.57499999999999996</v>
      </c>
      <c r="K245" s="67">
        <v>0.59499999999999997</v>
      </c>
      <c r="L245" s="66">
        <v>0.61</v>
      </c>
    </row>
    <row r="246" spans="1:12" hidden="1" outlineLevel="1" x14ac:dyDescent="0.2">
      <c r="A246" s="76"/>
      <c r="B246" s="39" t="s">
        <v>132</v>
      </c>
      <c r="C246" s="39" t="s">
        <v>140</v>
      </c>
      <c r="D246" s="39" t="s">
        <v>137</v>
      </c>
      <c r="E246" s="65" t="s">
        <v>105</v>
      </c>
      <c r="F246" s="69"/>
      <c r="G246" s="69"/>
      <c r="H246" s="68">
        <v>0.01</v>
      </c>
      <c r="I246" s="69">
        <v>1.4999999999999999E-2</v>
      </c>
      <c r="J246" s="68">
        <v>1.4999999999999999E-2</v>
      </c>
      <c r="K246" s="67">
        <v>2.5000000000000001E-2</v>
      </c>
      <c r="L246" s="66">
        <v>3.5000000000000003E-2</v>
      </c>
    </row>
    <row r="247" spans="1:12" hidden="1" outlineLevel="1" x14ac:dyDescent="0.2">
      <c r="A247" s="76"/>
      <c r="B247" s="39" t="s">
        <v>132</v>
      </c>
      <c r="C247" s="39" t="s">
        <v>140</v>
      </c>
      <c r="D247" s="39" t="s">
        <v>137</v>
      </c>
      <c r="E247" s="65" t="s">
        <v>106</v>
      </c>
      <c r="F247" s="69"/>
      <c r="G247" s="69"/>
      <c r="H247" s="68">
        <v>0.08</v>
      </c>
      <c r="I247" s="69">
        <v>8.5000000000000006E-2</v>
      </c>
      <c r="J247" s="68">
        <v>9.5000000000000001E-2</v>
      </c>
      <c r="K247" s="67">
        <v>0.11</v>
      </c>
      <c r="L247" s="66">
        <v>0.125</v>
      </c>
    </row>
    <row r="248" spans="1:12" hidden="1" outlineLevel="1" x14ac:dyDescent="0.2">
      <c r="A248" s="76"/>
      <c r="B248" s="39" t="s">
        <v>132</v>
      </c>
      <c r="C248" s="39" t="s">
        <v>140</v>
      </c>
      <c r="D248" s="39" t="s">
        <v>137</v>
      </c>
      <c r="E248" s="65" t="s">
        <v>107</v>
      </c>
      <c r="F248" s="69"/>
      <c r="G248" s="69"/>
      <c r="H248" s="69"/>
      <c r="I248" s="69">
        <v>6.5000000000000002E-2</v>
      </c>
      <c r="J248" s="69"/>
      <c r="K248" s="67">
        <v>8.5000000000000006E-2</v>
      </c>
      <c r="L248" s="66">
        <v>0.1</v>
      </c>
    </row>
    <row r="249" spans="1:12" hidden="1" outlineLevel="1" x14ac:dyDescent="0.2">
      <c r="A249" s="76"/>
      <c r="B249" s="39" t="s">
        <v>132</v>
      </c>
      <c r="C249" s="39" t="s">
        <v>140</v>
      </c>
      <c r="D249" s="39" t="s">
        <v>137</v>
      </c>
      <c r="E249" s="65" t="s">
        <v>108</v>
      </c>
      <c r="F249" s="69"/>
      <c r="G249" s="69"/>
      <c r="H249" s="69"/>
      <c r="I249" s="69">
        <v>1.4999999999999999E-2</v>
      </c>
      <c r="J249" s="69"/>
      <c r="K249" s="67">
        <v>3.5000000000000003E-2</v>
      </c>
      <c r="L249" s="66">
        <v>5.5E-2</v>
      </c>
    </row>
    <row r="250" spans="1:12" hidden="1" outlineLevel="1" x14ac:dyDescent="0.2">
      <c r="A250" s="76"/>
      <c r="B250" s="39" t="s">
        <v>132</v>
      </c>
      <c r="C250" s="39" t="s">
        <v>140</v>
      </c>
      <c r="D250" s="39" t="s">
        <v>137</v>
      </c>
      <c r="E250" s="65" t="s">
        <v>109</v>
      </c>
      <c r="F250" s="69"/>
      <c r="G250" s="69"/>
      <c r="H250" s="69"/>
      <c r="I250" s="69">
        <v>5.5E-2</v>
      </c>
      <c r="J250" s="69"/>
      <c r="K250" s="67">
        <v>7.0000000000000007E-2</v>
      </c>
      <c r="L250" s="66">
        <v>8.5000000000000006E-2</v>
      </c>
    </row>
    <row r="251" spans="1:12" hidden="1" outlineLevel="1" x14ac:dyDescent="0.2">
      <c r="A251" s="76"/>
      <c r="B251" s="39" t="s">
        <v>132</v>
      </c>
      <c r="C251" s="39" t="s">
        <v>140</v>
      </c>
      <c r="D251" s="39" t="s">
        <v>137</v>
      </c>
      <c r="E251" s="65" t="s">
        <v>110</v>
      </c>
      <c r="F251" s="66">
        <v>4.4999999999999998E-2</v>
      </c>
      <c r="G251" s="67">
        <v>0.05</v>
      </c>
      <c r="H251" s="68">
        <v>6.5000000000000002E-2</v>
      </c>
      <c r="I251" s="69">
        <v>7.0000000000000007E-2</v>
      </c>
      <c r="J251" s="68">
        <v>0.08</v>
      </c>
      <c r="K251" s="69"/>
      <c r="L251" s="69"/>
    </row>
    <row r="252" spans="1:12" hidden="1" outlineLevel="1" x14ac:dyDescent="0.2">
      <c r="A252" s="76"/>
      <c r="B252" s="39" t="s">
        <v>132</v>
      </c>
      <c r="C252" s="39" t="s">
        <v>140</v>
      </c>
      <c r="D252" s="39" t="s">
        <v>137</v>
      </c>
      <c r="E252" s="65" t="s">
        <v>111</v>
      </c>
      <c r="F252" s="69"/>
      <c r="G252" s="69"/>
      <c r="H252" s="69"/>
      <c r="I252" s="69">
        <v>0.01</v>
      </c>
      <c r="J252" s="69"/>
      <c r="K252" s="67">
        <v>1.4999999999999999E-2</v>
      </c>
      <c r="L252" s="66">
        <v>0.02</v>
      </c>
    </row>
    <row r="253" spans="1:12" hidden="1" outlineLevel="1" x14ac:dyDescent="0.2">
      <c r="A253" s="76"/>
      <c r="B253" s="39" t="s">
        <v>132</v>
      </c>
      <c r="C253" s="39" t="s">
        <v>140</v>
      </c>
      <c r="D253" s="39" t="s">
        <v>137</v>
      </c>
      <c r="E253" s="65" t="s">
        <v>34</v>
      </c>
      <c r="F253" s="69"/>
      <c r="G253" s="69"/>
      <c r="H253" s="68">
        <v>0.05</v>
      </c>
      <c r="I253" s="69">
        <v>5.5E-2</v>
      </c>
      <c r="J253" s="68">
        <v>0.06</v>
      </c>
      <c r="K253" s="67">
        <v>7.4999999999999997E-2</v>
      </c>
      <c r="L253" s="66">
        <v>0.09</v>
      </c>
    </row>
    <row r="254" spans="1:12" hidden="1" outlineLevel="1" x14ac:dyDescent="0.2">
      <c r="A254" s="76"/>
      <c r="B254" s="39" t="s">
        <v>132</v>
      </c>
      <c r="C254" s="39" t="s">
        <v>140</v>
      </c>
      <c r="D254" s="39" t="s">
        <v>137</v>
      </c>
      <c r="E254" s="65" t="s">
        <v>4</v>
      </c>
      <c r="F254" s="71">
        <v>15</v>
      </c>
      <c r="G254" s="72">
        <v>16</v>
      </c>
      <c r="H254" s="73">
        <v>16.5</v>
      </c>
      <c r="I254" s="74">
        <v>17</v>
      </c>
      <c r="J254" s="73">
        <v>17.5</v>
      </c>
      <c r="K254" s="72">
        <v>18</v>
      </c>
      <c r="L254" s="71">
        <v>18.5</v>
      </c>
    </row>
    <row r="255" spans="1:12" hidden="1" outlineLevel="1" x14ac:dyDescent="0.2">
      <c r="A255" s="76"/>
      <c r="B255" s="39" t="s">
        <v>132</v>
      </c>
      <c r="C255" s="39" t="s">
        <v>140</v>
      </c>
      <c r="D255" s="39" t="s">
        <v>137</v>
      </c>
      <c r="E255" s="70" t="s">
        <v>14</v>
      </c>
      <c r="F255" s="71">
        <v>8.5</v>
      </c>
      <c r="G255" s="72">
        <v>9</v>
      </c>
      <c r="H255" s="73">
        <v>10</v>
      </c>
      <c r="I255" s="74">
        <v>10</v>
      </c>
      <c r="J255" s="73">
        <v>10.5</v>
      </c>
      <c r="K255" s="72">
        <v>11</v>
      </c>
      <c r="L255" s="71">
        <v>11.5</v>
      </c>
    </row>
    <row r="256" spans="1:12" hidden="1" outlineLevel="1" x14ac:dyDescent="0.2">
      <c r="A256" s="76"/>
      <c r="B256" s="39" t="s">
        <v>132</v>
      </c>
      <c r="C256" s="39" t="s">
        <v>140</v>
      </c>
      <c r="D256" s="39" t="s">
        <v>137</v>
      </c>
      <c r="E256" s="65" t="s">
        <v>0</v>
      </c>
      <c r="F256" s="71">
        <v>22</v>
      </c>
      <c r="G256" s="72">
        <v>23</v>
      </c>
      <c r="H256" s="73">
        <v>23.5</v>
      </c>
      <c r="I256" s="74">
        <v>23.5</v>
      </c>
      <c r="J256" s="73">
        <v>24</v>
      </c>
      <c r="K256" s="72">
        <v>25</v>
      </c>
      <c r="L256" s="71">
        <v>25.5</v>
      </c>
    </row>
    <row r="257" spans="1:12" hidden="1" outlineLevel="1" x14ac:dyDescent="0.2">
      <c r="A257" s="76"/>
    </row>
    <row r="258" spans="1:12" collapsed="1" x14ac:dyDescent="0.2">
      <c r="A258" s="76">
        <v>278</v>
      </c>
      <c r="B258" s="39" t="s">
        <v>131</v>
      </c>
      <c r="C258" s="39" t="s">
        <v>138</v>
      </c>
      <c r="D258" s="39" t="s">
        <v>141</v>
      </c>
      <c r="E258" s="154" t="s">
        <v>194</v>
      </c>
    </row>
    <row r="259" spans="1:12" hidden="1" outlineLevel="1" x14ac:dyDescent="0.2">
      <c r="A259" s="76"/>
      <c r="B259" s="39" t="s">
        <v>131</v>
      </c>
      <c r="C259" s="39" t="s">
        <v>138</v>
      </c>
      <c r="D259" s="39" t="s">
        <v>141</v>
      </c>
      <c r="E259" s="65" t="s">
        <v>104</v>
      </c>
      <c r="F259" s="66">
        <v>0.45500000000000002</v>
      </c>
      <c r="G259" s="67">
        <v>0.48</v>
      </c>
      <c r="H259" s="68">
        <v>0.52</v>
      </c>
      <c r="I259" s="69">
        <v>0.53500000000000003</v>
      </c>
      <c r="J259" s="68">
        <v>0.55000000000000004</v>
      </c>
      <c r="K259" s="67">
        <v>0.58499999999999996</v>
      </c>
      <c r="L259" s="66">
        <v>0.61499999999999999</v>
      </c>
    </row>
    <row r="260" spans="1:12" hidden="1" outlineLevel="1" x14ac:dyDescent="0.2">
      <c r="A260" s="76"/>
      <c r="B260" s="39" t="s">
        <v>131</v>
      </c>
      <c r="C260" s="39" t="s">
        <v>138</v>
      </c>
      <c r="D260" s="39" t="s">
        <v>141</v>
      </c>
      <c r="E260" s="65" t="s">
        <v>105</v>
      </c>
      <c r="F260" s="69"/>
      <c r="G260" s="69"/>
      <c r="H260" s="68">
        <v>1.4999999999999999E-2</v>
      </c>
      <c r="I260" s="69">
        <v>1.4999999999999999E-2</v>
      </c>
      <c r="J260" s="68">
        <v>0.02</v>
      </c>
      <c r="K260" s="67">
        <v>3.5000000000000003E-2</v>
      </c>
      <c r="L260" s="66">
        <v>0.05</v>
      </c>
    </row>
    <row r="261" spans="1:12" hidden="1" outlineLevel="1" x14ac:dyDescent="0.2">
      <c r="A261" s="76"/>
      <c r="B261" s="39" t="s">
        <v>131</v>
      </c>
      <c r="C261" s="39" t="s">
        <v>138</v>
      </c>
      <c r="D261" s="39" t="s">
        <v>141</v>
      </c>
      <c r="E261" s="65" t="s">
        <v>106</v>
      </c>
      <c r="F261" s="69"/>
      <c r="G261" s="69"/>
      <c r="H261" s="68">
        <v>7.0000000000000007E-2</v>
      </c>
      <c r="I261" s="69">
        <v>0.08</v>
      </c>
      <c r="J261" s="68">
        <v>9.5000000000000001E-2</v>
      </c>
      <c r="K261" s="67">
        <v>0.115</v>
      </c>
      <c r="L261" s="66">
        <v>0.13</v>
      </c>
    </row>
    <row r="262" spans="1:12" hidden="1" outlineLevel="1" x14ac:dyDescent="0.2">
      <c r="A262" s="76"/>
      <c r="B262" s="39" t="s">
        <v>131</v>
      </c>
      <c r="C262" s="39" t="s">
        <v>138</v>
      </c>
      <c r="D262" s="39" t="s">
        <v>141</v>
      </c>
      <c r="E262" s="65" t="s">
        <v>107</v>
      </c>
      <c r="F262" s="69"/>
      <c r="G262" s="69"/>
      <c r="H262" s="69"/>
      <c r="I262" s="69">
        <v>6.5000000000000002E-2</v>
      </c>
      <c r="J262" s="69"/>
      <c r="K262" s="67">
        <v>0.09</v>
      </c>
      <c r="L262" s="66">
        <v>0.115</v>
      </c>
    </row>
    <row r="263" spans="1:12" hidden="1" outlineLevel="1" x14ac:dyDescent="0.2">
      <c r="A263" s="76"/>
      <c r="B263" s="39" t="s">
        <v>131</v>
      </c>
      <c r="C263" s="39" t="s">
        <v>138</v>
      </c>
      <c r="D263" s="39" t="s">
        <v>141</v>
      </c>
      <c r="E263" s="65" t="s">
        <v>108</v>
      </c>
      <c r="F263" s="69"/>
      <c r="G263" s="69"/>
      <c r="H263" s="69"/>
      <c r="I263" s="69">
        <v>1.4999999999999999E-2</v>
      </c>
      <c r="J263" s="69"/>
      <c r="K263" s="67">
        <v>0.03</v>
      </c>
      <c r="L263" s="66">
        <v>4.4999999999999998E-2</v>
      </c>
    </row>
    <row r="264" spans="1:12" hidden="1" outlineLevel="1" x14ac:dyDescent="0.2">
      <c r="A264" s="76"/>
      <c r="B264" s="39" t="s">
        <v>131</v>
      </c>
      <c r="C264" s="39" t="s">
        <v>138</v>
      </c>
      <c r="D264" s="39" t="s">
        <v>141</v>
      </c>
      <c r="E264" s="65" t="s">
        <v>109</v>
      </c>
      <c r="F264" s="69"/>
      <c r="G264" s="69"/>
      <c r="H264" s="69"/>
      <c r="I264" s="69">
        <v>5.5E-2</v>
      </c>
      <c r="J264" s="69"/>
      <c r="K264" s="67">
        <v>7.0000000000000007E-2</v>
      </c>
      <c r="L264" s="66">
        <v>9.5000000000000001E-2</v>
      </c>
    </row>
    <row r="265" spans="1:12" hidden="1" outlineLevel="1" x14ac:dyDescent="0.2">
      <c r="A265" s="76"/>
      <c r="B265" s="39" t="s">
        <v>131</v>
      </c>
      <c r="C265" s="39" t="s">
        <v>138</v>
      </c>
      <c r="D265" s="39" t="s">
        <v>141</v>
      </c>
      <c r="E265" s="65" t="s">
        <v>110</v>
      </c>
      <c r="F265" s="66">
        <v>0.04</v>
      </c>
      <c r="G265" s="67">
        <v>0.05</v>
      </c>
      <c r="H265" s="68">
        <v>0.06</v>
      </c>
      <c r="I265" s="69">
        <v>6.5000000000000002E-2</v>
      </c>
      <c r="J265" s="68">
        <v>7.0000000000000007E-2</v>
      </c>
      <c r="K265" s="69"/>
      <c r="L265" s="69"/>
    </row>
    <row r="266" spans="1:12" hidden="1" outlineLevel="1" x14ac:dyDescent="0.2">
      <c r="A266" s="76"/>
      <c r="B266" s="39" t="s">
        <v>131</v>
      </c>
      <c r="C266" s="39" t="s">
        <v>138</v>
      </c>
      <c r="D266" s="39" t="s">
        <v>141</v>
      </c>
      <c r="E266" s="65" t="s">
        <v>111</v>
      </c>
      <c r="F266" s="69"/>
      <c r="G266" s="69"/>
      <c r="H266" s="69"/>
      <c r="I266" s="69">
        <v>0.01</v>
      </c>
      <c r="J266" s="69"/>
      <c r="K266" s="67">
        <v>1.4999999999999999E-2</v>
      </c>
      <c r="L266" s="66">
        <v>0.02</v>
      </c>
    </row>
    <row r="267" spans="1:12" hidden="1" outlineLevel="1" x14ac:dyDescent="0.2">
      <c r="A267" s="76"/>
      <c r="B267" s="39" t="s">
        <v>131</v>
      </c>
      <c r="C267" s="39" t="s">
        <v>138</v>
      </c>
      <c r="D267" s="39" t="s">
        <v>141</v>
      </c>
      <c r="E267" s="65" t="s">
        <v>34</v>
      </c>
      <c r="F267" s="69"/>
      <c r="G267" s="69"/>
      <c r="H267" s="68">
        <v>6.5000000000000002E-2</v>
      </c>
      <c r="I267" s="69">
        <v>7.0000000000000007E-2</v>
      </c>
      <c r="J267" s="68">
        <v>0.08</v>
      </c>
      <c r="K267" s="67">
        <v>0.105</v>
      </c>
      <c r="L267" s="66">
        <v>0.14000000000000001</v>
      </c>
    </row>
    <row r="268" spans="1:12" hidden="1" outlineLevel="1" x14ac:dyDescent="0.2">
      <c r="A268" s="76"/>
      <c r="B268" s="39" t="s">
        <v>131</v>
      </c>
      <c r="C268" s="39" t="s">
        <v>138</v>
      </c>
      <c r="D268" s="39" t="s">
        <v>141</v>
      </c>
      <c r="E268" s="65" t="s">
        <v>4</v>
      </c>
      <c r="F268" s="71">
        <v>12</v>
      </c>
      <c r="G268" s="72">
        <v>13.5</v>
      </c>
      <c r="H268" s="73">
        <v>14.5</v>
      </c>
      <c r="I268" s="74">
        <v>15</v>
      </c>
      <c r="J268" s="73">
        <v>16</v>
      </c>
      <c r="K268" s="72">
        <v>17</v>
      </c>
      <c r="L268" s="71">
        <v>18</v>
      </c>
    </row>
    <row r="269" spans="1:12" hidden="1" outlineLevel="1" x14ac:dyDescent="0.2">
      <c r="A269" s="76"/>
      <c r="B269" s="39" t="s">
        <v>131</v>
      </c>
      <c r="C269" s="39" t="s">
        <v>138</v>
      </c>
      <c r="D269" s="39" t="s">
        <v>141</v>
      </c>
      <c r="E269" s="65" t="s">
        <v>14</v>
      </c>
      <c r="F269" s="71">
        <v>7</v>
      </c>
      <c r="G269" s="72">
        <v>8</v>
      </c>
      <c r="H269" s="73">
        <v>8.5</v>
      </c>
      <c r="I269" s="74">
        <v>9</v>
      </c>
      <c r="J269" s="73">
        <v>9.5</v>
      </c>
      <c r="K269" s="72">
        <v>10</v>
      </c>
      <c r="L269" s="71">
        <v>11.5</v>
      </c>
    </row>
    <row r="270" spans="1:12" hidden="1" outlineLevel="1" x14ac:dyDescent="0.2">
      <c r="A270" s="76"/>
      <c r="B270" s="39" t="s">
        <v>131</v>
      </c>
      <c r="C270" s="39" t="s">
        <v>138</v>
      </c>
      <c r="D270" s="39" t="s">
        <v>141</v>
      </c>
      <c r="E270" s="65" t="s">
        <v>0</v>
      </c>
      <c r="F270" s="71">
        <v>15</v>
      </c>
      <c r="G270" s="72">
        <v>16.5</v>
      </c>
      <c r="H270" s="73">
        <v>18.5</v>
      </c>
      <c r="I270" s="74">
        <v>19</v>
      </c>
      <c r="J270" s="73">
        <v>19.5</v>
      </c>
      <c r="K270" s="72">
        <v>21.5</v>
      </c>
      <c r="L270" s="71">
        <v>23</v>
      </c>
    </row>
    <row r="271" spans="1:12" hidden="1" outlineLevel="1" x14ac:dyDescent="0.2">
      <c r="A271" s="76"/>
    </row>
    <row r="272" spans="1:12" collapsed="1" x14ac:dyDescent="0.2">
      <c r="A272" s="76">
        <v>522</v>
      </c>
      <c r="B272" s="39" t="s">
        <v>131</v>
      </c>
      <c r="C272" s="39" t="s">
        <v>139</v>
      </c>
      <c r="D272" s="39" t="s">
        <v>141</v>
      </c>
      <c r="E272" s="154" t="s">
        <v>195</v>
      </c>
    </row>
    <row r="273" spans="1:12" hidden="1" outlineLevel="1" x14ac:dyDescent="0.2">
      <c r="A273" s="76"/>
      <c r="B273" s="39" t="s">
        <v>131</v>
      </c>
      <c r="C273" s="39" t="s">
        <v>139</v>
      </c>
      <c r="D273" s="39" t="s">
        <v>141</v>
      </c>
      <c r="E273" s="65" t="s">
        <v>104</v>
      </c>
      <c r="F273" s="66">
        <v>0.49</v>
      </c>
      <c r="G273" s="67">
        <v>0.52</v>
      </c>
      <c r="H273" s="68">
        <v>0.55500000000000005</v>
      </c>
      <c r="I273" s="69">
        <v>0.56499999999999995</v>
      </c>
      <c r="J273" s="68">
        <v>0.57499999999999996</v>
      </c>
      <c r="K273" s="67">
        <v>0.60499999999999998</v>
      </c>
      <c r="L273" s="66">
        <v>0.625</v>
      </c>
    </row>
    <row r="274" spans="1:12" hidden="1" outlineLevel="1" x14ac:dyDescent="0.2">
      <c r="A274" s="76"/>
      <c r="B274" s="39" t="s">
        <v>131</v>
      </c>
      <c r="C274" s="39" t="s">
        <v>139</v>
      </c>
      <c r="D274" s="39" t="s">
        <v>141</v>
      </c>
      <c r="E274" s="65" t="s">
        <v>105</v>
      </c>
      <c r="F274" s="69"/>
      <c r="G274" s="69"/>
      <c r="H274" s="68">
        <v>1.4999999999999999E-2</v>
      </c>
      <c r="I274" s="69">
        <v>1.4999999999999999E-2</v>
      </c>
      <c r="J274" s="68">
        <v>0.02</v>
      </c>
      <c r="K274" s="67">
        <v>0.03</v>
      </c>
      <c r="L274" s="66">
        <v>0.04</v>
      </c>
    </row>
    <row r="275" spans="1:12" hidden="1" outlineLevel="1" x14ac:dyDescent="0.2">
      <c r="A275" s="76"/>
      <c r="B275" s="39" t="s">
        <v>131</v>
      </c>
      <c r="C275" s="39" t="s">
        <v>139</v>
      </c>
      <c r="D275" s="39" t="s">
        <v>141</v>
      </c>
      <c r="E275" s="65" t="s">
        <v>106</v>
      </c>
      <c r="F275" s="69"/>
      <c r="G275" s="69"/>
      <c r="H275" s="68">
        <v>0.08</v>
      </c>
      <c r="I275" s="69">
        <v>0.09</v>
      </c>
      <c r="J275" s="68">
        <v>0.1</v>
      </c>
      <c r="K275" s="67">
        <v>0.12</v>
      </c>
      <c r="L275" s="66">
        <v>0.13500000000000001</v>
      </c>
    </row>
    <row r="276" spans="1:12" hidden="1" outlineLevel="1" x14ac:dyDescent="0.2">
      <c r="A276" s="76"/>
      <c r="B276" s="39" t="s">
        <v>131</v>
      </c>
      <c r="C276" s="39" t="s">
        <v>139</v>
      </c>
      <c r="D276" s="39" t="s">
        <v>141</v>
      </c>
      <c r="E276" s="65" t="s">
        <v>107</v>
      </c>
      <c r="F276" s="69"/>
      <c r="G276" s="69"/>
      <c r="H276" s="69"/>
      <c r="I276" s="69">
        <v>6.5000000000000002E-2</v>
      </c>
      <c r="J276" s="69"/>
      <c r="K276" s="67">
        <v>8.5000000000000006E-2</v>
      </c>
      <c r="L276" s="66">
        <v>0.1</v>
      </c>
    </row>
    <row r="277" spans="1:12" hidden="1" outlineLevel="1" x14ac:dyDescent="0.2">
      <c r="A277" s="76"/>
      <c r="B277" s="39" t="s">
        <v>131</v>
      </c>
      <c r="C277" s="39" t="s">
        <v>139</v>
      </c>
      <c r="D277" s="39" t="s">
        <v>141</v>
      </c>
      <c r="E277" s="65" t="s">
        <v>108</v>
      </c>
      <c r="F277" s="69"/>
      <c r="G277" s="69"/>
      <c r="H277" s="69"/>
      <c r="I277" s="69">
        <v>1.4999999999999999E-2</v>
      </c>
      <c r="J277" s="69"/>
      <c r="K277" s="67">
        <v>3.5000000000000003E-2</v>
      </c>
      <c r="L277" s="66">
        <v>0.05</v>
      </c>
    </row>
    <row r="278" spans="1:12" hidden="1" outlineLevel="1" x14ac:dyDescent="0.2">
      <c r="A278" s="76"/>
      <c r="B278" s="39" t="s">
        <v>131</v>
      </c>
      <c r="C278" s="39" t="s">
        <v>139</v>
      </c>
      <c r="D278" s="39" t="s">
        <v>141</v>
      </c>
      <c r="E278" s="65" t="s">
        <v>109</v>
      </c>
      <c r="F278" s="69"/>
      <c r="G278" s="69"/>
      <c r="H278" s="69"/>
      <c r="I278" s="69">
        <v>5.5E-2</v>
      </c>
      <c r="J278" s="69"/>
      <c r="K278" s="67">
        <v>7.0000000000000007E-2</v>
      </c>
      <c r="L278" s="66">
        <v>0.08</v>
      </c>
    </row>
    <row r="279" spans="1:12" hidden="1" outlineLevel="1" x14ac:dyDescent="0.2">
      <c r="A279" s="76"/>
      <c r="B279" s="39" t="s">
        <v>131</v>
      </c>
      <c r="C279" s="39" t="s">
        <v>139</v>
      </c>
      <c r="D279" s="39" t="s">
        <v>141</v>
      </c>
      <c r="E279" s="65" t="s">
        <v>110</v>
      </c>
      <c r="F279" s="66">
        <v>4.4999999999999998E-2</v>
      </c>
      <c r="G279" s="67">
        <v>0.05</v>
      </c>
      <c r="H279" s="68">
        <v>0.06</v>
      </c>
      <c r="I279" s="69">
        <v>6.5000000000000002E-2</v>
      </c>
      <c r="J279" s="68">
        <v>7.0000000000000007E-2</v>
      </c>
      <c r="K279" s="69"/>
      <c r="L279" s="69"/>
    </row>
    <row r="280" spans="1:12" hidden="1" outlineLevel="1" x14ac:dyDescent="0.2">
      <c r="A280" s="76"/>
      <c r="B280" s="39" t="s">
        <v>131</v>
      </c>
      <c r="C280" s="39" t="s">
        <v>139</v>
      </c>
      <c r="D280" s="39" t="s">
        <v>141</v>
      </c>
      <c r="E280" s="70" t="s">
        <v>111</v>
      </c>
      <c r="F280" s="69"/>
      <c r="G280" s="69"/>
      <c r="H280" s="69"/>
      <c r="I280" s="69">
        <v>0.01</v>
      </c>
      <c r="J280" s="69"/>
      <c r="K280" s="67">
        <v>1.4999999999999999E-2</v>
      </c>
      <c r="L280" s="66">
        <v>0.02</v>
      </c>
    </row>
    <row r="281" spans="1:12" hidden="1" outlineLevel="1" x14ac:dyDescent="0.2">
      <c r="A281" s="76"/>
      <c r="B281" s="39" t="s">
        <v>131</v>
      </c>
      <c r="C281" s="39" t="s">
        <v>139</v>
      </c>
      <c r="D281" s="39" t="s">
        <v>141</v>
      </c>
      <c r="E281" s="65" t="s">
        <v>34</v>
      </c>
      <c r="F281" s="69"/>
      <c r="G281" s="69"/>
      <c r="H281" s="68">
        <v>5.5E-2</v>
      </c>
      <c r="I281" s="69">
        <v>0.06</v>
      </c>
      <c r="J281" s="68">
        <v>6.5000000000000002E-2</v>
      </c>
      <c r="K281" s="67">
        <v>0.08</v>
      </c>
      <c r="L281" s="66">
        <v>9.5000000000000001E-2</v>
      </c>
    </row>
    <row r="282" spans="1:12" hidden="1" outlineLevel="1" x14ac:dyDescent="0.2">
      <c r="A282" s="76"/>
      <c r="B282" s="39" t="s">
        <v>131</v>
      </c>
      <c r="C282" s="39" t="s">
        <v>139</v>
      </c>
      <c r="D282" s="39" t="s">
        <v>141</v>
      </c>
      <c r="E282" s="65" t="s">
        <v>4</v>
      </c>
      <c r="F282" s="71">
        <v>14</v>
      </c>
      <c r="G282" s="72">
        <v>15</v>
      </c>
      <c r="H282" s="73">
        <v>15.5</v>
      </c>
      <c r="I282" s="74">
        <v>16</v>
      </c>
      <c r="J282" s="73">
        <v>16.5</v>
      </c>
      <c r="K282" s="72">
        <v>17</v>
      </c>
      <c r="L282" s="71">
        <v>18</v>
      </c>
    </row>
    <row r="283" spans="1:12" hidden="1" outlineLevel="1" x14ac:dyDescent="0.2">
      <c r="A283" s="76"/>
      <c r="B283" s="39" t="s">
        <v>131</v>
      </c>
      <c r="C283" s="39" t="s">
        <v>139</v>
      </c>
      <c r="D283" s="39" t="s">
        <v>141</v>
      </c>
      <c r="E283" s="70" t="s">
        <v>14</v>
      </c>
      <c r="F283" s="71">
        <v>8</v>
      </c>
      <c r="G283" s="72">
        <v>8.5</v>
      </c>
      <c r="H283" s="73">
        <v>9.5</v>
      </c>
      <c r="I283" s="74">
        <v>9.5</v>
      </c>
      <c r="J283" s="73">
        <v>10</v>
      </c>
      <c r="K283" s="72">
        <v>10.5</v>
      </c>
      <c r="L283" s="71">
        <v>11</v>
      </c>
    </row>
    <row r="284" spans="1:12" hidden="1" outlineLevel="1" x14ac:dyDescent="0.2">
      <c r="A284" s="76"/>
      <c r="B284" s="39" t="s">
        <v>131</v>
      </c>
      <c r="C284" s="39" t="s">
        <v>139</v>
      </c>
      <c r="D284" s="39" t="s">
        <v>141</v>
      </c>
      <c r="E284" s="65" t="s">
        <v>0</v>
      </c>
      <c r="F284" s="71">
        <v>18.5</v>
      </c>
      <c r="G284" s="72">
        <v>19.5</v>
      </c>
      <c r="H284" s="73">
        <v>20</v>
      </c>
      <c r="I284" s="74">
        <v>20.5</v>
      </c>
      <c r="J284" s="73">
        <v>21</v>
      </c>
      <c r="K284" s="72">
        <v>22</v>
      </c>
      <c r="L284" s="71">
        <v>22.5</v>
      </c>
    </row>
    <row r="285" spans="1:12" hidden="1" outlineLevel="1" x14ac:dyDescent="0.2">
      <c r="A285" s="76"/>
    </row>
    <row r="286" spans="1:12" collapsed="1" x14ac:dyDescent="0.2">
      <c r="A286" s="76">
        <v>276</v>
      </c>
      <c r="B286" s="39" t="s">
        <v>131</v>
      </c>
      <c r="C286" s="39" t="s">
        <v>140</v>
      </c>
      <c r="D286" s="39" t="s">
        <v>141</v>
      </c>
      <c r="E286" s="154" t="s">
        <v>196</v>
      </c>
    </row>
    <row r="287" spans="1:12" hidden="1" outlineLevel="1" x14ac:dyDescent="0.2">
      <c r="A287" s="76"/>
      <c r="B287" s="39" t="s">
        <v>131</v>
      </c>
      <c r="C287" s="39" t="s">
        <v>140</v>
      </c>
      <c r="D287" s="39" t="s">
        <v>141</v>
      </c>
      <c r="E287" s="65" t="s">
        <v>104</v>
      </c>
      <c r="F287" s="66">
        <v>0.5</v>
      </c>
      <c r="G287" s="67">
        <v>0.53</v>
      </c>
      <c r="H287" s="68">
        <v>0.55500000000000005</v>
      </c>
      <c r="I287" s="69">
        <v>0.56499999999999995</v>
      </c>
      <c r="J287" s="68">
        <v>0.57499999999999996</v>
      </c>
      <c r="K287" s="67">
        <v>0.61</v>
      </c>
      <c r="L287" s="66">
        <v>0.63500000000000001</v>
      </c>
    </row>
    <row r="288" spans="1:12" hidden="1" outlineLevel="1" x14ac:dyDescent="0.2">
      <c r="A288" s="76"/>
      <c r="B288" s="39" t="s">
        <v>131</v>
      </c>
      <c r="C288" s="39" t="s">
        <v>140</v>
      </c>
      <c r="D288" s="39" t="s">
        <v>141</v>
      </c>
      <c r="E288" s="65" t="s">
        <v>105</v>
      </c>
      <c r="F288" s="69"/>
      <c r="G288" s="69"/>
      <c r="H288" s="68">
        <v>0.01</v>
      </c>
      <c r="I288" s="69">
        <v>1.4999999999999999E-2</v>
      </c>
      <c r="J288" s="68">
        <v>0.02</v>
      </c>
      <c r="K288" s="67">
        <v>0.03</v>
      </c>
      <c r="L288" s="66">
        <v>0.04</v>
      </c>
    </row>
    <row r="289" spans="1:12" hidden="1" outlineLevel="1" x14ac:dyDescent="0.2">
      <c r="A289" s="76"/>
      <c r="B289" s="39" t="s">
        <v>131</v>
      </c>
      <c r="C289" s="39" t="s">
        <v>140</v>
      </c>
      <c r="D289" s="39" t="s">
        <v>141</v>
      </c>
      <c r="E289" s="65" t="s">
        <v>106</v>
      </c>
      <c r="F289" s="69"/>
      <c r="G289" s="69"/>
      <c r="H289" s="68">
        <v>8.5000000000000006E-2</v>
      </c>
      <c r="I289" s="69">
        <v>0.09</v>
      </c>
      <c r="J289" s="68">
        <v>0.1</v>
      </c>
      <c r="K289" s="67">
        <v>0.115</v>
      </c>
      <c r="L289" s="66">
        <v>0.13</v>
      </c>
    </row>
    <row r="290" spans="1:12" hidden="1" outlineLevel="1" x14ac:dyDescent="0.2">
      <c r="A290" s="76"/>
      <c r="B290" s="39" t="s">
        <v>131</v>
      </c>
      <c r="C290" s="39" t="s">
        <v>140</v>
      </c>
      <c r="D290" s="39" t="s">
        <v>141</v>
      </c>
      <c r="E290" s="65" t="s">
        <v>107</v>
      </c>
      <c r="F290" s="69"/>
      <c r="G290" s="69"/>
      <c r="H290" s="69"/>
      <c r="I290" s="69">
        <v>0.06</v>
      </c>
      <c r="J290" s="69"/>
      <c r="K290" s="67">
        <v>0.08</v>
      </c>
      <c r="L290" s="66">
        <v>0.1</v>
      </c>
    </row>
    <row r="291" spans="1:12" hidden="1" outlineLevel="1" x14ac:dyDescent="0.2">
      <c r="A291" s="76"/>
      <c r="B291" s="39" t="s">
        <v>131</v>
      </c>
      <c r="C291" s="39" t="s">
        <v>140</v>
      </c>
      <c r="D291" s="39" t="s">
        <v>141</v>
      </c>
      <c r="E291" s="65" t="s">
        <v>108</v>
      </c>
      <c r="F291" s="69"/>
      <c r="G291" s="69"/>
      <c r="H291" s="69"/>
      <c r="I291" s="69">
        <v>1.4999999999999999E-2</v>
      </c>
      <c r="J291" s="69"/>
      <c r="K291" s="67">
        <v>0.03</v>
      </c>
      <c r="L291" s="66">
        <v>0.05</v>
      </c>
    </row>
    <row r="292" spans="1:12" hidden="1" outlineLevel="1" x14ac:dyDescent="0.2">
      <c r="A292" s="76"/>
      <c r="B292" s="39" t="s">
        <v>131</v>
      </c>
      <c r="C292" s="39" t="s">
        <v>140</v>
      </c>
      <c r="D292" s="39" t="s">
        <v>141</v>
      </c>
      <c r="E292" s="65" t="s">
        <v>109</v>
      </c>
      <c r="F292" s="69"/>
      <c r="G292" s="69"/>
      <c r="H292" s="69"/>
      <c r="I292" s="69">
        <v>0.05</v>
      </c>
      <c r="J292" s="69"/>
      <c r="K292" s="67">
        <v>6.5000000000000002E-2</v>
      </c>
      <c r="L292" s="66">
        <v>8.5000000000000006E-2</v>
      </c>
    </row>
    <row r="293" spans="1:12" hidden="1" outlineLevel="1" x14ac:dyDescent="0.2">
      <c r="A293" s="76"/>
      <c r="B293" s="39" t="s">
        <v>131</v>
      </c>
      <c r="C293" s="39" t="s">
        <v>140</v>
      </c>
      <c r="D293" s="39" t="s">
        <v>141</v>
      </c>
      <c r="E293" s="65" t="s">
        <v>110</v>
      </c>
      <c r="F293" s="66">
        <v>4.4999999999999998E-2</v>
      </c>
      <c r="G293" s="67">
        <v>5.5E-2</v>
      </c>
      <c r="H293" s="68">
        <v>6.5000000000000002E-2</v>
      </c>
      <c r="I293" s="69">
        <v>7.0000000000000007E-2</v>
      </c>
      <c r="J293" s="68">
        <v>7.4999999999999997E-2</v>
      </c>
      <c r="K293" s="69"/>
      <c r="L293" s="69"/>
    </row>
    <row r="294" spans="1:12" hidden="1" outlineLevel="1" x14ac:dyDescent="0.2">
      <c r="A294" s="76"/>
      <c r="B294" s="39" t="s">
        <v>131</v>
      </c>
      <c r="C294" s="39" t="s">
        <v>140</v>
      </c>
      <c r="D294" s="39" t="s">
        <v>141</v>
      </c>
      <c r="E294" s="70" t="s">
        <v>111</v>
      </c>
      <c r="F294" s="69"/>
      <c r="G294" s="69"/>
      <c r="H294" s="69"/>
      <c r="I294" s="69">
        <v>0.01</v>
      </c>
      <c r="J294" s="69"/>
      <c r="K294" s="67">
        <v>1.4999999999999999E-2</v>
      </c>
      <c r="L294" s="66">
        <v>0.02</v>
      </c>
    </row>
    <row r="295" spans="1:12" hidden="1" outlineLevel="1" x14ac:dyDescent="0.2">
      <c r="A295" s="76"/>
      <c r="B295" s="39" t="s">
        <v>131</v>
      </c>
      <c r="C295" s="39" t="s">
        <v>140</v>
      </c>
      <c r="D295" s="39" t="s">
        <v>141</v>
      </c>
      <c r="E295" s="65" t="s">
        <v>34</v>
      </c>
      <c r="F295" s="69"/>
      <c r="G295" s="69"/>
      <c r="H295" s="68">
        <v>0.05</v>
      </c>
      <c r="I295" s="69">
        <v>5.5E-2</v>
      </c>
      <c r="J295" s="68">
        <v>0.06</v>
      </c>
      <c r="K295" s="67">
        <v>7.0000000000000007E-2</v>
      </c>
      <c r="L295" s="66">
        <v>0.08</v>
      </c>
    </row>
    <row r="296" spans="1:12" hidden="1" outlineLevel="1" x14ac:dyDescent="0.2">
      <c r="A296" s="76"/>
      <c r="B296" s="39" t="s">
        <v>131</v>
      </c>
      <c r="C296" s="39" t="s">
        <v>140</v>
      </c>
      <c r="D296" s="39" t="s">
        <v>141</v>
      </c>
      <c r="E296" s="65" t="s">
        <v>4</v>
      </c>
      <c r="F296" s="71">
        <v>14</v>
      </c>
      <c r="G296" s="72">
        <v>15</v>
      </c>
      <c r="H296" s="73">
        <v>16</v>
      </c>
      <c r="I296" s="74">
        <v>16</v>
      </c>
      <c r="J296" s="73">
        <v>16.5</v>
      </c>
      <c r="K296" s="72">
        <v>17.5</v>
      </c>
      <c r="L296" s="71">
        <v>18.5</v>
      </c>
    </row>
    <row r="297" spans="1:12" hidden="1" outlineLevel="1" x14ac:dyDescent="0.2">
      <c r="A297" s="76"/>
      <c r="B297" s="39" t="s">
        <v>131</v>
      </c>
      <c r="C297" s="39" t="s">
        <v>140</v>
      </c>
      <c r="D297" s="39" t="s">
        <v>141</v>
      </c>
      <c r="E297" s="65" t="s">
        <v>14</v>
      </c>
      <c r="F297" s="71">
        <v>8.5</v>
      </c>
      <c r="G297" s="72">
        <v>9</v>
      </c>
      <c r="H297" s="73">
        <v>9.5</v>
      </c>
      <c r="I297" s="74">
        <v>10</v>
      </c>
      <c r="J297" s="73">
        <v>10</v>
      </c>
      <c r="K297" s="72">
        <v>11</v>
      </c>
      <c r="L297" s="71">
        <v>11.5</v>
      </c>
    </row>
    <row r="298" spans="1:12" hidden="1" outlineLevel="1" x14ac:dyDescent="0.2">
      <c r="A298" s="76"/>
      <c r="B298" s="39" t="s">
        <v>131</v>
      </c>
      <c r="C298" s="39" t="s">
        <v>140</v>
      </c>
      <c r="D298" s="39" t="s">
        <v>141</v>
      </c>
      <c r="E298" s="65" t="s">
        <v>0</v>
      </c>
      <c r="F298" s="71">
        <v>19</v>
      </c>
      <c r="G298" s="72">
        <v>19.5</v>
      </c>
      <c r="H298" s="73">
        <v>20.5</v>
      </c>
      <c r="I298" s="74">
        <v>21</v>
      </c>
      <c r="J298" s="73">
        <v>21.5</v>
      </c>
      <c r="K298" s="72">
        <v>22</v>
      </c>
      <c r="L298" s="71">
        <v>23</v>
      </c>
    </row>
    <row r="299" spans="1:12" hidden="1" outlineLevel="1" x14ac:dyDescent="0.2">
      <c r="A299" s="76"/>
    </row>
    <row r="300" spans="1:12" collapsed="1" x14ac:dyDescent="0.2">
      <c r="A300" s="76">
        <v>113</v>
      </c>
      <c r="B300" s="39" t="s">
        <v>132</v>
      </c>
      <c r="C300" s="39" t="s">
        <v>138</v>
      </c>
      <c r="D300" s="39" t="s">
        <v>141</v>
      </c>
      <c r="E300" s="154" t="s">
        <v>197</v>
      </c>
    </row>
    <row r="301" spans="1:12" hidden="1" outlineLevel="1" x14ac:dyDescent="0.2">
      <c r="A301" s="76"/>
      <c r="B301" s="39" t="s">
        <v>132</v>
      </c>
      <c r="C301" s="39" t="s">
        <v>138</v>
      </c>
      <c r="D301" s="39" t="s">
        <v>141</v>
      </c>
      <c r="E301" s="65" t="s">
        <v>104</v>
      </c>
      <c r="F301" s="66">
        <v>0.42499999999999999</v>
      </c>
      <c r="G301" s="67">
        <v>0.46</v>
      </c>
      <c r="H301" s="68">
        <v>0.49</v>
      </c>
      <c r="I301" s="69">
        <v>0.51</v>
      </c>
      <c r="J301" s="68">
        <v>0.54</v>
      </c>
      <c r="K301" s="67">
        <v>0.56999999999999995</v>
      </c>
      <c r="L301" s="66">
        <v>0.59499999999999997</v>
      </c>
    </row>
    <row r="302" spans="1:12" hidden="1" outlineLevel="1" x14ac:dyDescent="0.2">
      <c r="A302" s="76"/>
      <c r="B302" s="39" t="s">
        <v>132</v>
      </c>
      <c r="C302" s="39" t="s">
        <v>138</v>
      </c>
      <c r="D302" s="39" t="s">
        <v>141</v>
      </c>
      <c r="E302" s="65" t="s">
        <v>105</v>
      </c>
      <c r="F302" s="69"/>
      <c r="G302" s="69"/>
      <c r="H302" s="68">
        <v>1.4999999999999999E-2</v>
      </c>
      <c r="I302" s="69">
        <v>1.4999999999999999E-2</v>
      </c>
      <c r="J302" s="68">
        <v>2.5000000000000001E-2</v>
      </c>
      <c r="K302" s="67">
        <v>3.5000000000000003E-2</v>
      </c>
      <c r="L302" s="66">
        <v>4.4999999999999998E-2</v>
      </c>
    </row>
    <row r="303" spans="1:12" hidden="1" outlineLevel="1" x14ac:dyDescent="0.2">
      <c r="A303" s="76"/>
      <c r="B303" s="39" t="s">
        <v>132</v>
      </c>
      <c r="C303" s="39" t="s">
        <v>138</v>
      </c>
      <c r="D303" s="39" t="s">
        <v>141</v>
      </c>
      <c r="E303" s="65" t="s">
        <v>106</v>
      </c>
      <c r="F303" s="69"/>
      <c r="G303" s="69"/>
      <c r="H303" s="68">
        <v>8.5000000000000006E-2</v>
      </c>
      <c r="I303" s="69">
        <v>0.09</v>
      </c>
      <c r="J303" s="68">
        <v>0.1</v>
      </c>
      <c r="K303" s="67">
        <v>0.13</v>
      </c>
      <c r="L303" s="66">
        <v>0.15</v>
      </c>
    </row>
    <row r="304" spans="1:12" hidden="1" outlineLevel="1" x14ac:dyDescent="0.2">
      <c r="A304" s="76"/>
      <c r="B304" s="39" t="s">
        <v>132</v>
      </c>
      <c r="C304" s="39" t="s">
        <v>138</v>
      </c>
      <c r="D304" s="39" t="s">
        <v>141</v>
      </c>
      <c r="E304" s="65" t="s">
        <v>107</v>
      </c>
      <c r="F304" s="69"/>
      <c r="G304" s="69"/>
      <c r="H304" s="69"/>
      <c r="I304" s="69">
        <v>7.0000000000000007E-2</v>
      </c>
      <c r="J304" s="69"/>
      <c r="K304" s="67">
        <v>9.5000000000000001E-2</v>
      </c>
      <c r="L304" s="66">
        <v>0.115</v>
      </c>
    </row>
    <row r="305" spans="1:14" hidden="1" outlineLevel="1" x14ac:dyDescent="0.2">
      <c r="A305" s="76"/>
      <c r="B305" s="39" t="s">
        <v>132</v>
      </c>
      <c r="C305" s="39" t="s">
        <v>138</v>
      </c>
      <c r="D305" s="39" t="s">
        <v>141</v>
      </c>
      <c r="E305" s="65" t="s">
        <v>108</v>
      </c>
      <c r="F305" s="69"/>
      <c r="G305" s="69"/>
      <c r="H305" s="69"/>
      <c r="I305" s="69">
        <v>1.4999999999999999E-2</v>
      </c>
      <c r="J305" s="69"/>
      <c r="K305" s="67">
        <v>0.04</v>
      </c>
      <c r="L305" s="66">
        <v>6.5000000000000002E-2</v>
      </c>
    </row>
    <row r="306" spans="1:14" hidden="1" outlineLevel="1" x14ac:dyDescent="0.2">
      <c r="A306" s="76"/>
      <c r="B306" s="39" t="s">
        <v>132</v>
      </c>
      <c r="C306" s="39" t="s">
        <v>138</v>
      </c>
      <c r="D306" s="39" t="s">
        <v>141</v>
      </c>
      <c r="E306" s="65" t="s">
        <v>109</v>
      </c>
      <c r="F306" s="69"/>
      <c r="G306" s="69"/>
      <c r="H306" s="69"/>
      <c r="I306" s="69">
        <v>5.5E-2</v>
      </c>
      <c r="J306" s="69"/>
      <c r="K306" s="67">
        <v>7.4999999999999997E-2</v>
      </c>
      <c r="L306" s="66">
        <v>8.5000000000000006E-2</v>
      </c>
    </row>
    <row r="307" spans="1:14" hidden="1" outlineLevel="1" x14ac:dyDescent="0.2">
      <c r="A307" s="76"/>
      <c r="B307" s="39" t="s">
        <v>132</v>
      </c>
      <c r="C307" s="39" t="s">
        <v>138</v>
      </c>
      <c r="D307" s="39" t="s">
        <v>141</v>
      </c>
      <c r="E307" s="65" t="s">
        <v>110</v>
      </c>
      <c r="F307" s="66">
        <v>3.5000000000000003E-2</v>
      </c>
      <c r="G307" s="67">
        <v>0.04</v>
      </c>
      <c r="H307" s="68">
        <v>5.5E-2</v>
      </c>
      <c r="I307" s="69">
        <v>0.06</v>
      </c>
      <c r="J307" s="68">
        <v>7.0000000000000007E-2</v>
      </c>
      <c r="K307" s="69"/>
      <c r="L307" s="69"/>
    </row>
    <row r="308" spans="1:14" hidden="1" outlineLevel="1" x14ac:dyDescent="0.2">
      <c r="A308" s="76"/>
      <c r="B308" s="39" t="s">
        <v>132</v>
      </c>
      <c r="C308" s="39" t="s">
        <v>138</v>
      </c>
      <c r="D308" s="39" t="s">
        <v>141</v>
      </c>
      <c r="E308" s="65" t="s">
        <v>111</v>
      </c>
      <c r="F308" s="69"/>
      <c r="G308" s="69"/>
      <c r="H308" s="69"/>
      <c r="I308" s="69">
        <v>0.01</v>
      </c>
      <c r="J308" s="69"/>
      <c r="K308" s="67">
        <v>1.4999999999999999E-2</v>
      </c>
      <c r="L308" s="66">
        <v>0.02</v>
      </c>
    </row>
    <row r="309" spans="1:14" hidden="1" outlineLevel="1" x14ac:dyDescent="0.2">
      <c r="A309" s="76"/>
      <c r="B309" s="39" t="s">
        <v>132</v>
      </c>
      <c r="C309" s="39" t="s">
        <v>138</v>
      </c>
      <c r="D309" s="39" t="s">
        <v>141</v>
      </c>
      <c r="E309" s="65" t="s">
        <v>34</v>
      </c>
      <c r="F309" s="69"/>
      <c r="G309" s="69"/>
      <c r="H309" s="68">
        <v>0.08</v>
      </c>
      <c r="I309" s="69">
        <v>0.09</v>
      </c>
      <c r="J309" s="68">
        <v>9.5000000000000001E-2</v>
      </c>
      <c r="K309" s="67">
        <v>0.115</v>
      </c>
      <c r="L309" s="66">
        <v>0.155</v>
      </c>
    </row>
    <row r="310" spans="1:14" hidden="1" outlineLevel="1" x14ac:dyDescent="0.2">
      <c r="A310" s="76"/>
      <c r="B310" s="39" t="s">
        <v>132</v>
      </c>
      <c r="C310" s="39" t="s">
        <v>138</v>
      </c>
      <c r="D310" s="39" t="s">
        <v>141</v>
      </c>
      <c r="E310" s="65" t="s">
        <v>4</v>
      </c>
      <c r="F310" s="71">
        <v>12.5</v>
      </c>
      <c r="G310" s="72">
        <v>13.5</v>
      </c>
      <c r="H310" s="73">
        <v>15</v>
      </c>
      <c r="I310" s="74">
        <v>15.5</v>
      </c>
      <c r="J310" s="73">
        <v>16.5</v>
      </c>
      <c r="K310" s="72">
        <v>17.5</v>
      </c>
      <c r="L310" s="71">
        <v>19</v>
      </c>
    </row>
    <row r="311" spans="1:14" hidden="1" outlineLevel="1" x14ac:dyDescent="0.2">
      <c r="A311" s="76"/>
      <c r="B311" s="39" t="s">
        <v>132</v>
      </c>
      <c r="C311" s="39" t="s">
        <v>138</v>
      </c>
      <c r="D311" s="39" t="s">
        <v>141</v>
      </c>
      <c r="E311" s="70" t="s">
        <v>14</v>
      </c>
      <c r="F311" s="71">
        <v>6.5</v>
      </c>
      <c r="G311" s="72">
        <v>7.5</v>
      </c>
      <c r="H311" s="73">
        <v>8.5</v>
      </c>
      <c r="I311" s="74">
        <v>9</v>
      </c>
      <c r="J311" s="73">
        <v>9</v>
      </c>
      <c r="K311" s="72">
        <v>10</v>
      </c>
      <c r="L311" s="71">
        <v>11.5</v>
      </c>
    </row>
    <row r="312" spans="1:14" hidden="1" outlineLevel="1" x14ac:dyDescent="0.2">
      <c r="A312" s="76"/>
      <c r="B312" s="39" t="s">
        <v>132</v>
      </c>
      <c r="C312" s="39" t="s">
        <v>138</v>
      </c>
      <c r="D312" s="39" t="s">
        <v>141</v>
      </c>
      <c r="E312" s="65" t="s">
        <v>0</v>
      </c>
      <c r="F312" s="71">
        <v>18.5</v>
      </c>
      <c r="G312" s="72">
        <v>20</v>
      </c>
      <c r="H312" s="73">
        <v>22</v>
      </c>
      <c r="I312" s="74">
        <v>23</v>
      </c>
      <c r="J312" s="73">
        <v>23.5</v>
      </c>
      <c r="K312" s="72">
        <v>25</v>
      </c>
      <c r="L312" s="71">
        <v>27</v>
      </c>
    </row>
    <row r="313" spans="1:14" hidden="1" outlineLevel="1" x14ac:dyDescent="0.2">
      <c r="A313" s="76"/>
    </row>
    <row r="314" spans="1:14" collapsed="1" x14ac:dyDescent="0.2">
      <c r="A314" s="76">
        <v>180</v>
      </c>
      <c r="B314" s="39" t="s">
        <v>132</v>
      </c>
      <c r="C314" s="39" t="s">
        <v>139</v>
      </c>
      <c r="D314" s="39" t="s">
        <v>141</v>
      </c>
      <c r="E314" s="154" t="s">
        <v>198</v>
      </c>
    </row>
    <row r="315" spans="1:14" hidden="1" outlineLevel="1" x14ac:dyDescent="0.2">
      <c r="A315" s="76"/>
      <c r="B315" s="39" t="s">
        <v>132</v>
      </c>
      <c r="C315" s="39" t="s">
        <v>139</v>
      </c>
      <c r="D315" s="39" t="s">
        <v>141</v>
      </c>
      <c r="E315" s="65" t="s">
        <v>104</v>
      </c>
      <c r="F315" s="66">
        <v>0.46500000000000002</v>
      </c>
      <c r="G315" s="67">
        <v>0.495</v>
      </c>
      <c r="H315" s="68">
        <v>0.52500000000000002</v>
      </c>
      <c r="I315" s="69">
        <v>0.53500000000000003</v>
      </c>
      <c r="J315" s="68">
        <v>0.54500000000000004</v>
      </c>
      <c r="K315" s="67">
        <v>0.56999999999999995</v>
      </c>
      <c r="L315" s="66">
        <v>0.59499999999999997</v>
      </c>
    </row>
    <row r="316" spans="1:14" hidden="1" outlineLevel="1" x14ac:dyDescent="0.2">
      <c r="A316" s="76"/>
      <c r="B316" s="39" t="s">
        <v>132</v>
      </c>
      <c r="C316" s="39" t="s">
        <v>139</v>
      </c>
      <c r="D316" s="39" t="s">
        <v>141</v>
      </c>
      <c r="E316" s="65" t="s">
        <v>105</v>
      </c>
      <c r="F316" s="69"/>
      <c r="G316" s="69"/>
      <c r="H316" s="68">
        <v>1.4999999999999999E-2</v>
      </c>
      <c r="I316" s="69">
        <v>0.02</v>
      </c>
      <c r="J316" s="68">
        <v>2.5000000000000001E-2</v>
      </c>
      <c r="K316" s="67">
        <v>3.5000000000000003E-2</v>
      </c>
      <c r="L316" s="66">
        <v>4.4999999999999998E-2</v>
      </c>
    </row>
    <row r="317" spans="1:14" hidden="1" outlineLevel="1" x14ac:dyDescent="0.2">
      <c r="A317" s="76"/>
      <c r="B317" s="39" t="s">
        <v>132</v>
      </c>
      <c r="C317" s="39" t="s">
        <v>139</v>
      </c>
      <c r="D317" s="39" t="s">
        <v>141</v>
      </c>
      <c r="E317" s="65" t="s">
        <v>106</v>
      </c>
      <c r="F317" s="69"/>
      <c r="G317" s="69"/>
      <c r="H317" s="68">
        <v>9.5000000000000001E-2</v>
      </c>
      <c r="I317" s="69">
        <v>0.11</v>
      </c>
      <c r="J317" s="68">
        <v>0.115</v>
      </c>
      <c r="K317" s="67">
        <v>0.13500000000000001</v>
      </c>
      <c r="L317" s="66">
        <v>0.15</v>
      </c>
    </row>
    <row r="318" spans="1:14" hidden="1" outlineLevel="1" x14ac:dyDescent="0.2">
      <c r="A318" s="76"/>
      <c r="B318" s="39" t="s">
        <v>132</v>
      </c>
      <c r="C318" s="39" t="s">
        <v>139</v>
      </c>
      <c r="D318" s="39" t="s">
        <v>141</v>
      </c>
      <c r="E318" s="65" t="s">
        <v>107</v>
      </c>
      <c r="F318" s="69"/>
      <c r="G318" s="69"/>
      <c r="H318" s="69"/>
      <c r="I318" s="69">
        <v>6.5000000000000002E-2</v>
      </c>
      <c r="J318" s="69"/>
      <c r="K318" s="67">
        <v>8.5000000000000006E-2</v>
      </c>
      <c r="L318" s="66">
        <v>0.1</v>
      </c>
      <c r="N318" s="77"/>
    </row>
    <row r="319" spans="1:14" hidden="1" outlineLevel="1" x14ac:dyDescent="0.2">
      <c r="A319" s="76"/>
      <c r="B319" s="39" t="s">
        <v>132</v>
      </c>
      <c r="C319" s="39" t="s">
        <v>139</v>
      </c>
      <c r="D319" s="39" t="s">
        <v>141</v>
      </c>
      <c r="E319" s="65" t="s">
        <v>108</v>
      </c>
      <c r="F319" s="69"/>
      <c r="G319" s="69"/>
      <c r="H319" s="69"/>
      <c r="I319" s="69">
        <v>1.4999999999999999E-2</v>
      </c>
      <c r="J319" s="69"/>
      <c r="K319" s="67">
        <v>3.5000000000000003E-2</v>
      </c>
      <c r="L319" s="66">
        <v>0.05</v>
      </c>
    </row>
    <row r="320" spans="1:14" hidden="1" outlineLevel="1" x14ac:dyDescent="0.2">
      <c r="A320" s="76"/>
      <c r="B320" s="39" t="s">
        <v>132</v>
      </c>
      <c r="C320" s="39" t="s">
        <v>139</v>
      </c>
      <c r="D320" s="39" t="s">
        <v>141</v>
      </c>
      <c r="E320" s="65" t="s">
        <v>109</v>
      </c>
      <c r="F320" s="69"/>
      <c r="G320" s="69"/>
      <c r="H320" s="69"/>
      <c r="I320" s="69">
        <v>0.06</v>
      </c>
      <c r="J320" s="69"/>
      <c r="K320" s="67">
        <v>8.5000000000000006E-2</v>
      </c>
      <c r="L320" s="66">
        <v>0.105</v>
      </c>
    </row>
    <row r="321" spans="1:12" hidden="1" outlineLevel="1" x14ac:dyDescent="0.2">
      <c r="A321" s="76"/>
      <c r="B321" s="39" t="s">
        <v>132</v>
      </c>
      <c r="C321" s="39" t="s">
        <v>139</v>
      </c>
      <c r="D321" s="39" t="s">
        <v>141</v>
      </c>
      <c r="E321" s="65" t="s">
        <v>110</v>
      </c>
      <c r="F321" s="66">
        <v>0.04</v>
      </c>
      <c r="G321" s="67">
        <v>4.4999999999999998E-2</v>
      </c>
      <c r="H321" s="68">
        <v>5.5E-2</v>
      </c>
      <c r="I321" s="69">
        <v>0.06</v>
      </c>
      <c r="J321" s="68">
        <v>6.5000000000000002E-2</v>
      </c>
      <c r="K321" s="69"/>
      <c r="L321" s="69"/>
    </row>
    <row r="322" spans="1:12" hidden="1" outlineLevel="1" x14ac:dyDescent="0.2">
      <c r="A322" s="76"/>
      <c r="B322" s="39" t="s">
        <v>132</v>
      </c>
      <c r="C322" s="39" t="s">
        <v>139</v>
      </c>
      <c r="D322" s="39" t="s">
        <v>141</v>
      </c>
      <c r="E322" s="65" t="s">
        <v>111</v>
      </c>
      <c r="F322" s="69"/>
      <c r="G322" s="69"/>
      <c r="H322" s="69"/>
      <c r="I322" s="69">
        <v>0.01</v>
      </c>
      <c r="J322" s="69"/>
      <c r="K322" s="67">
        <v>1.4999999999999999E-2</v>
      </c>
      <c r="L322" s="66">
        <v>0.02</v>
      </c>
    </row>
    <row r="323" spans="1:12" hidden="1" outlineLevel="1" x14ac:dyDescent="0.2">
      <c r="A323" s="76"/>
      <c r="B323" s="39" t="s">
        <v>132</v>
      </c>
      <c r="C323" s="39" t="s">
        <v>139</v>
      </c>
      <c r="D323" s="39" t="s">
        <v>141</v>
      </c>
      <c r="E323" s="65" t="s">
        <v>34</v>
      </c>
      <c r="F323" s="69"/>
      <c r="G323" s="69"/>
      <c r="H323" s="68">
        <v>0.06</v>
      </c>
      <c r="I323" s="69">
        <v>7.0000000000000007E-2</v>
      </c>
      <c r="J323" s="68">
        <v>7.4999999999999997E-2</v>
      </c>
      <c r="K323" s="67">
        <v>0.09</v>
      </c>
      <c r="L323" s="66">
        <v>0.105</v>
      </c>
    </row>
    <row r="324" spans="1:12" hidden="1" outlineLevel="1" x14ac:dyDescent="0.2">
      <c r="A324" s="76"/>
      <c r="B324" s="39" t="s">
        <v>132</v>
      </c>
      <c r="C324" s="39" t="s">
        <v>139</v>
      </c>
      <c r="D324" s="39" t="s">
        <v>141</v>
      </c>
      <c r="E324" s="65" t="s">
        <v>4</v>
      </c>
      <c r="F324" s="71">
        <v>14</v>
      </c>
      <c r="G324" s="72">
        <v>14.5</v>
      </c>
      <c r="H324" s="73">
        <v>15.5</v>
      </c>
      <c r="I324" s="74">
        <v>16</v>
      </c>
      <c r="J324" s="73">
        <v>16.5</v>
      </c>
      <c r="K324" s="72">
        <v>17.5</v>
      </c>
      <c r="L324" s="71">
        <v>18.5</v>
      </c>
    </row>
    <row r="325" spans="1:12" hidden="1" outlineLevel="1" x14ac:dyDescent="0.2">
      <c r="A325" s="76"/>
      <c r="B325" s="39" t="s">
        <v>132</v>
      </c>
      <c r="C325" s="39" t="s">
        <v>139</v>
      </c>
      <c r="D325" s="39" t="s">
        <v>141</v>
      </c>
      <c r="E325" s="65" t="s">
        <v>14</v>
      </c>
      <c r="F325" s="71">
        <v>7.5</v>
      </c>
      <c r="G325" s="72">
        <v>8</v>
      </c>
      <c r="H325" s="73">
        <v>8.5</v>
      </c>
      <c r="I325" s="74">
        <v>9</v>
      </c>
      <c r="J325" s="73">
        <v>9</v>
      </c>
      <c r="K325" s="72">
        <v>10</v>
      </c>
      <c r="L325" s="71">
        <v>11</v>
      </c>
    </row>
    <row r="326" spans="1:12" hidden="1" outlineLevel="1" x14ac:dyDescent="0.2">
      <c r="A326" s="76"/>
      <c r="B326" s="39" t="s">
        <v>132</v>
      </c>
      <c r="C326" s="39" t="s">
        <v>139</v>
      </c>
      <c r="D326" s="39" t="s">
        <v>141</v>
      </c>
      <c r="E326" s="65" t="s">
        <v>0</v>
      </c>
      <c r="F326" s="71">
        <v>20.5</v>
      </c>
      <c r="G326" s="72">
        <v>21.5</v>
      </c>
      <c r="H326" s="73">
        <v>22.5</v>
      </c>
      <c r="I326" s="74">
        <v>22.5</v>
      </c>
      <c r="J326" s="73">
        <v>23</v>
      </c>
      <c r="K326" s="72">
        <v>24</v>
      </c>
      <c r="L326" s="71">
        <v>25</v>
      </c>
    </row>
    <row r="327" spans="1:12" hidden="1" outlineLevel="1" x14ac:dyDescent="0.2">
      <c r="A327" s="76"/>
    </row>
    <row r="328" spans="1:12" collapsed="1" x14ac:dyDescent="0.2">
      <c r="A328" s="76">
        <v>101</v>
      </c>
      <c r="B328" s="39" t="s">
        <v>132</v>
      </c>
      <c r="C328" s="39" t="s">
        <v>140</v>
      </c>
      <c r="D328" s="39" t="s">
        <v>141</v>
      </c>
      <c r="E328" s="154" t="s">
        <v>199</v>
      </c>
    </row>
    <row r="329" spans="1:12" hidden="1" outlineLevel="1" x14ac:dyDescent="0.2">
      <c r="A329" s="76"/>
      <c r="B329" s="39" t="s">
        <v>132</v>
      </c>
      <c r="C329" s="39" t="s">
        <v>140</v>
      </c>
      <c r="D329" s="39" t="s">
        <v>141</v>
      </c>
      <c r="E329" s="65" t="s">
        <v>104</v>
      </c>
      <c r="F329" s="66">
        <v>0.46</v>
      </c>
      <c r="G329" s="67">
        <v>0.48</v>
      </c>
      <c r="H329" s="68">
        <v>0.51</v>
      </c>
      <c r="I329" s="69">
        <v>0.52500000000000002</v>
      </c>
      <c r="J329" s="68">
        <v>0.54</v>
      </c>
      <c r="K329" s="67">
        <v>0.56999999999999995</v>
      </c>
      <c r="L329" s="66">
        <v>0.59</v>
      </c>
    </row>
    <row r="330" spans="1:12" hidden="1" outlineLevel="1" x14ac:dyDescent="0.2">
      <c r="A330" s="76"/>
      <c r="B330" s="39" t="s">
        <v>132</v>
      </c>
      <c r="C330" s="39" t="s">
        <v>140</v>
      </c>
      <c r="D330" s="39" t="s">
        <v>141</v>
      </c>
      <c r="E330" s="65" t="s">
        <v>105</v>
      </c>
      <c r="F330" s="69"/>
      <c r="G330" s="69"/>
      <c r="H330" s="68">
        <v>1.4999999999999999E-2</v>
      </c>
      <c r="I330" s="69">
        <v>0.02</v>
      </c>
      <c r="J330" s="68">
        <v>2.5000000000000001E-2</v>
      </c>
      <c r="K330" s="67">
        <v>3.5000000000000003E-2</v>
      </c>
      <c r="L330" s="66">
        <v>4.4999999999999998E-2</v>
      </c>
    </row>
    <row r="331" spans="1:12" hidden="1" outlineLevel="1" x14ac:dyDescent="0.2">
      <c r="A331" s="76"/>
      <c r="B331" s="39" t="s">
        <v>132</v>
      </c>
      <c r="C331" s="39" t="s">
        <v>140</v>
      </c>
      <c r="D331" s="39" t="s">
        <v>141</v>
      </c>
      <c r="E331" s="65" t="s">
        <v>106</v>
      </c>
      <c r="F331" s="69"/>
      <c r="G331" s="69"/>
      <c r="H331" s="68">
        <v>0.105</v>
      </c>
      <c r="I331" s="69">
        <v>0.11</v>
      </c>
      <c r="J331" s="68">
        <v>0.12</v>
      </c>
      <c r="K331" s="67">
        <v>0.14000000000000001</v>
      </c>
      <c r="L331" s="66">
        <v>0.15</v>
      </c>
    </row>
    <row r="332" spans="1:12" hidden="1" outlineLevel="1" x14ac:dyDescent="0.2">
      <c r="A332" s="76"/>
      <c r="B332" s="39" t="s">
        <v>132</v>
      </c>
      <c r="C332" s="39" t="s">
        <v>140</v>
      </c>
      <c r="D332" s="39" t="s">
        <v>141</v>
      </c>
      <c r="E332" s="65" t="s">
        <v>107</v>
      </c>
      <c r="F332" s="69"/>
      <c r="G332" s="69"/>
      <c r="H332" s="69"/>
      <c r="I332" s="69">
        <v>0.06</v>
      </c>
      <c r="J332" s="69"/>
      <c r="K332" s="67">
        <v>0.08</v>
      </c>
      <c r="L332" s="66">
        <v>0.1</v>
      </c>
    </row>
    <row r="333" spans="1:12" hidden="1" outlineLevel="1" x14ac:dyDescent="0.2">
      <c r="A333" s="76"/>
      <c r="B333" s="39" t="s">
        <v>132</v>
      </c>
      <c r="C333" s="39" t="s">
        <v>140</v>
      </c>
      <c r="D333" s="39" t="s">
        <v>141</v>
      </c>
      <c r="E333" s="65" t="s">
        <v>108</v>
      </c>
      <c r="F333" s="69"/>
      <c r="G333" s="69"/>
      <c r="H333" s="69"/>
      <c r="I333" s="69">
        <v>1.4999999999999999E-2</v>
      </c>
      <c r="J333" s="69"/>
      <c r="K333" s="67">
        <v>0.03</v>
      </c>
      <c r="L333" s="66">
        <v>5.5E-2</v>
      </c>
    </row>
    <row r="334" spans="1:12" hidden="1" outlineLevel="1" x14ac:dyDescent="0.2">
      <c r="A334" s="76"/>
      <c r="B334" s="39" t="s">
        <v>132</v>
      </c>
      <c r="C334" s="39" t="s">
        <v>140</v>
      </c>
      <c r="D334" s="39" t="s">
        <v>141</v>
      </c>
      <c r="E334" s="65" t="s">
        <v>109</v>
      </c>
      <c r="F334" s="69"/>
      <c r="G334" s="69"/>
      <c r="H334" s="69"/>
      <c r="I334" s="69">
        <v>5.5E-2</v>
      </c>
      <c r="J334" s="69"/>
      <c r="K334" s="67">
        <v>7.0000000000000007E-2</v>
      </c>
      <c r="L334" s="66">
        <v>0.09</v>
      </c>
    </row>
    <row r="335" spans="1:12" hidden="1" outlineLevel="1" x14ac:dyDescent="0.2">
      <c r="A335" s="76"/>
      <c r="B335" s="39" t="s">
        <v>132</v>
      </c>
      <c r="C335" s="39" t="s">
        <v>140</v>
      </c>
      <c r="D335" s="39" t="s">
        <v>141</v>
      </c>
      <c r="E335" s="65" t="s">
        <v>110</v>
      </c>
      <c r="F335" s="66">
        <v>3.5000000000000003E-2</v>
      </c>
      <c r="G335" s="67">
        <v>0.04</v>
      </c>
      <c r="H335" s="68">
        <v>5.5E-2</v>
      </c>
      <c r="I335" s="69">
        <v>0.06</v>
      </c>
      <c r="J335" s="68">
        <v>6.5000000000000002E-2</v>
      </c>
      <c r="K335" s="69"/>
      <c r="L335" s="69"/>
    </row>
    <row r="336" spans="1:12" hidden="1" outlineLevel="1" x14ac:dyDescent="0.2">
      <c r="A336" s="76"/>
      <c r="B336" s="39" t="s">
        <v>132</v>
      </c>
      <c r="C336" s="39" t="s">
        <v>140</v>
      </c>
      <c r="D336" s="39" t="s">
        <v>141</v>
      </c>
      <c r="E336" s="65" t="s">
        <v>111</v>
      </c>
      <c r="F336" s="69"/>
      <c r="G336" s="69"/>
      <c r="H336" s="69"/>
      <c r="I336" s="69">
        <v>0.01</v>
      </c>
      <c r="J336" s="69"/>
      <c r="K336" s="67">
        <v>1.4999999999999999E-2</v>
      </c>
      <c r="L336" s="66">
        <v>0.02</v>
      </c>
    </row>
    <row r="337" spans="1:12" hidden="1" outlineLevel="1" x14ac:dyDescent="0.2">
      <c r="A337" s="76"/>
      <c r="B337" s="39" t="s">
        <v>132</v>
      </c>
      <c r="C337" s="39" t="s">
        <v>140</v>
      </c>
      <c r="D337" s="39" t="s">
        <v>141</v>
      </c>
      <c r="E337" s="65" t="s">
        <v>34</v>
      </c>
      <c r="F337" s="69"/>
      <c r="G337" s="69"/>
      <c r="H337" s="68">
        <v>5.5E-2</v>
      </c>
      <c r="I337" s="69">
        <v>0.06</v>
      </c>
      <c r="J337" s="68">
        <v>6.5000000000000002E-2</v>
      </c>
      <c r="K337" s="67">
        <v>7.4999999999999997E-2</v>
      </c>
      <c r="L337" s="66">
        <v>9.5000000000000001E-2</v>
      </c>
    </row>
    <row r="338" spans="1:12" hidden="1" outlineLevel="1" x14ac:dyDescent="0.2">
      <c r="A338" s="76"/>
      <c r="B338" s="39" t="s">
        <v>132</v>
      </c>
      <c r="C338" s="39" t="s">
        <v>140</v>
      </c>
      <c r="D338" s="39" t="s">
        <v>141</v>
      </c>
      <c r="E338" s="65" t="s">
        <v>4</v>
      </c>
      <c r="F338" s="71">
        <v>14</v>
      </c>
      <c r="G338" s="72">
        <v>15</v>
      </c>
      <c r="H338" s="73">
        <v>16</v>
      </c>
      <c r="I338" s="74">
        <v>16.5</v>
      </c>
      <c r="J338" s="73">
        <v>16.5</v>
      </c>
      <c r="K338" s="72">
        <v>17.5</v>
      </c>
      <c r="L338" s="71">
        <v>18</v>
      </c>
    </row>
    <row r="339" spans="1:12" hidden="1" outlineLevel="1" x14ac:dyDescent="0.2">
      <c r="A339" s="76"/>
      <c r="B339" s="39" t="s">
        <v>132</v>
      </c>
      <c r="C339" s="39" t="s">
        <v>140</v>
      </c>
      <c r="D339" s="39" t="s">
        <v>141</v>
      </c>
      <c r="E339" s="65" t="s">
        <v>14</v>
      </c>
      <c r="F339" s="71">
        <v>8</v>
      </c>
      <c r="G339" s="72">
        <v>8.5</v>
      </c>
      <c r="H339" s="73">
        <v>9</v>
      </c>
      <c r="I339" s="74">
        <v>9</v>
      </c>
      <c r="J339" s="73">
        <v>9.5</v>
      </c>
      <c r="K339" s="72">
        <v>10</v>
      </c>
      <c r="L339" s="71">
        <v>10.5</v>
      </c>
    </row>
    <row r="340" spans="1:12" hidden="1" outlineLevel="1" x14ac:dyDescent="0.2">
      <c r="A340" s="76"/>
      <c r="B340" s="39" t="s">
        <v>132</v>
      </c>
      <c r="C340" s="39" t="s">
        <v>140</v>
      </c>
      <c r="D340" s="39" t="s">
        <v>141</v>
      </c>
      <c r="E340" s="65" t="s">
        <v>0</v>
      </c>
      <c r="F340" s="71">
        <v>21</v>
      </c>
      <c r="G340" s="72">
        <v>22</v>
      </c>
      <c r="H340" s="73">
        <v>22.5</v>
      </c>
      <c r="I340" s="74">
        <v>23</v>
      </c>
      <c r="J340" s="73">
        <v>23.5</v>
      </c>
      <c r="K340" s="72">
        <v>24.5</v>
      </c>
      <c r="L340" s="71">
        <v>25.5</v>
      </c>
    </row>
    <row r="341" spans="1:12" hidden="1" outlineLevel="1" x14ac:dyDescent="0.2">
      <c r="A341" s="76"/>
    </row>
    <row r="342" spans="1:12" collapsed="1" x14ac:dyDescent="0.2">
      <c r="A342" s="76">
        <v>203</v>
      </c>
      <c r="B342" s="39" t="s">
        <v>131</v>
      </c>
      <c r="C342" s="39" t="s">
        <v>138</v>
      </c>
      <c r="D342" s="39" t="s">
        <v>142</v>
      </c>
      <c r="E342" s="154" t="s">
        <v>200</v>
      </c>
    </row>
    <row r="343" spans="1:12" hidden="1" outlineLevel="1" x14ac:dyDescent="0.2">
      <c r="A343" s="76"/>
      <c r="B343" s="39" t="s">
        <v>131</v>
      </c>
      <c r="C343" s="39" t="s">
        <v>138</v>
      </c>
      <c r="D343" s="39" t="s">
        <v>142</v>
      </c>
      <c r="E343" s="65" t="s">
        <v>104</v>
      </c>
      <c r="F343" s="66">
        <v>0.44</v>
      </c>
      <c r="G343" s="67">
        <v>0.47</v>
      </c>
      <c r="H343" s="68">
        <v>0.505</v>
      </c>
      <c r="I343" s="69">
        <v>0.52</v>
      </c>
      <c r="J343" s="68">
        <v>0.53</v>
      </c>
      <c r="K343" s="67">
        <v>0.56000000000000005</v>
      </c>
      <c r="L343" s="66">
        <v>0.59499999999999997</v>
      </c>
    </row>
    <row r="344" spans="1:12" hidden="1" outlineLevel="1" x14ac:dyDescent="0.2">
      <c r="A344" s="76"/>
      <c r="B344" s="39" t="s">
        <v>131</v>
      </c>
      <c r="C344" s="39" t="s">
        <v>138</v>
      </c>
      <c r="D344" s="39" t="s">
        <v>142</v>
      </c>
      <c r="E344" s="65" t="s">
        <v>105</v>
      </c>
      <c r="F344" s="69"/>
      <c r="G344" s="69"/>
      <c r="H344" s="68">
        <v>1.4999999999999999E-2</v>
      </c>
      <c r="I344" s="69">
        <v>0.02</v>
      </c>
      <c r="J344" s="68">
        <v>2.5000000000000001E-2</v>
      </c>
      <c r="K344" s="67">
        <v>0.04</v>
      </c>
      <c r="L344" s="66">
        <v>5.5E-2</v>
      </c>
    </row>
    <row r="345" spans="1:12" hidden="1" outlineLevel="1" x14ac:dyDescent="0.2">
      <c r="A345" s="76"/>
      <c r="B345" s="39" t="s">
        <v>131</v>
      </c>
      <c r="C345" s="39" t="s">
        <v>138</v>
      </c>
      <c r="D345" s="39" t="s">
        <v>142</v>
      </c>
      <c r="E345" s="65" t="s">
        <v>106</v>
      </c>
      <c r="F345" s="69"/>
      <c r="G345" s="69"/>
      <c r="H345" s="68">
        <v>0.09</v>
      </c>
      <c r="I345" s="69">
        <v>0.1</v>
      </c>
      <c r="J345" s="68">
        <v>0.105</v>
      </c>
      <c r="K345" s="67">
        <v>0.13</v>
      </c>
      <c r="L345" s="66">
        <v>0.15</v>
      </c>
    </row>
    <row r="346" spans="1:12" hidden="1" outlineLevel="1" x14ac:dyDescent="0.2">
      <c r="A346" s="76"/>
      <c r="B346" s="39" t="s">
        <v>131</v>
      </c>
      <c r="C346" s="39" t="s">
        <v>138</v>
      </c>
      <c r="D346" s="39" t="s">
        <v>142</v>
      </c>
      <c r="E346" s="65" t="s">
        <v>107</v>
      </c>
      <c r="F346" s="69"/>
      <c r="G346" s="69"/>
      <c r="H346" s="69"/>
      <c r="I346" s="69">
        <v>7.0000000000000007E-2</v>
      </c>
      <c r="J346" s="69"/>
      <c r="K346" s="67">
        <v>0.105</v>
      </c>
      <c r="L346" s="66">
        <v>0.12</v>
      </c>
    </row>
    <row r="347" spans="1:12" hidden="1" outlineLevel="1" x14ac:dyDescent="0.2">
      <c r="A347" s="76"/>
      <c r="B347" s="39" t="s">
        <v>131</v>
      </c>
      <c r="C347" s="39" t="s">
        <v>138</v>
      </c>
      <c r="D347" s="39" t="s">
        <v>142</v>
      </c>
      <c r="E347" s="65" t="s">
        <v>108</v>
      </c>
      <c r="F347" s="69"/>
      <c r="G347" s="69"/>
      <c r="H347" s="69"/>
      <c r="I347" s="69">
        <v>0.02</v>
      </c>
      <c r="J347" s="69"/>
      <c r="K347" s="67">
        <v>3.5000000000000003E-2</v>
      </c>
      <c r="L347" s="66">
        <v>0.05</v>
      </c>
    </row>
    <row r="348" spans="1:12" hidden="1" outlineLevel="1" x14ac:dyDescent="0.2">
      <c r="A348" s="76"/>
      <c r="B348" s="39" t="s">
        <v>131</v>
      </c>
      <c r="C348" s="39" t="s">
        <v>138</v>
      </c>
      <c r="D348" s="39" t="s">
        <v>142</v>
      </c>
      <c r="E348" s="65" t="s">
        <v>109</v>
      </c>
      <c r="F348" s="69"/>
      <c r="G348" s="69"/>
      <c r="H348" s="69"/>
      <c r="I348" s="69">
        <v>5.5E-2</v>
      </c>
      <c r="J348" s="69"/>
      <c r="K348" s="67">
        <v>7.4999999999999997E-2</v>
      </c>
      <c r="L348" s="66">
        <v>8.5000000000000006E-2</v>
      </c>
    </row>
    <row r="349" spans="1:12" hidden="1" outlineLevel="1" x14ac:dyDescent="0.2">
      <c r="A349" s="76"/>
      <c r="B349" s="39" t="s">
        <v>131</v>
      </c>
      <c r="C349" s="39" t="s">
        <v>138</v>
      </c>
      <c r="D349" s="39" t="s">
        <v>142</v>
      </c>
      <c r="E349" s="65" t="s">
        <v>110</v>
      </c>
      <c r="F349" s="66">
        <v>3.5000000000000003E-2</v>
      </c>
      <c r="G349" s="67">
        <v>4.4999999999999998E-2</v>
      </c>
      <c r="H349" s="68">
        <v>5.5E-2</v>
      </c>
      <c r="I349" s="69">
        <v>0.06</v>
      </c>
      <c r="J349" s="68">
        <v>6.5000000000000002E-2</v>
      </c>
      <c r="K349" s="69"/>
      <c r="L349" s="69"/>
    </row>
    <row r="350" spans="1:12" hidden="1" outlineLevel="1" x14ac:dyDescent="0.2">
      <c r="A350" s="76"/>
      <c r="B350" s="39" t="s">
        <v>131</v>
      </c>
      <c r="C350" s="39" t="s">
        <v>138</v>
      </c>
      <c r="D350" s="39" t="s">
        <v>142</v>
      </c>
      <c r="E350" s="65" t="s">
        <v>111</v>
      </c>
      <c r="F350" s="69"/>
      <c r="G350" s="69"/>
      <c r="H350" s="69"/>
      <c r="I350" s="69">
        <v>0.01</v>
      </c>
      <c r="J350" s="69"/>
      <c r="K350" s="67">
        <v>1.4999999999999999E-2</v>
      </c>
      <c r="L350" s="66">
        <v>0.02</v>
      </c>
    </row>
    <row r="351" spans="1:12" hidden="1" outlineLevel="1" x14ac:dyDescent="0.2">
      <c r="A351" s="76"/>
      <c r="B351" s="39" t="s">
        <v>131</v>
      </c>
      <c r="C351" s="39" t="s">
        <v>138</v>
      </c>
      <c r="D351" s="39" t="s">
        <v>142</v>
      </c>
      <c r="E351" s="65" t="s">
        <v>34</v>
      </c>
      <c r="F351" s="69"/>
      <c r="G351" s="69"/>
      <c r="H351" s="68">
        <v>7.0000000000000007E-2</v>
      </c>
      <c r="I351" s="69">
        <v>7.4999999999999997E-2</v>
      </c>
      <c r="J351" s="68">
        <v>0.08</v>
      </c>
      <c r="K351" s="67">
        <v>0.1</v>
      </c>
      <c r="L351" s="66">
        <v>0.115</v>
      </c>
    </row>
    <row r="352" spans="1:12" hidden="1" outlineLevel="1" x14ac:dyDescent="0.2">
      <c r="A352" s="76"/>
      <c r="B352" s="39" t="s">
        <v>131</v>
      </c>
      <c r="C352" s="39" t="s">
        <v>138</v>
      </c>
      <c r="D352" s="39" t="s">
        <v>142</v>
      </c>
      <c r="E352" s="65" t="s">
        <v>4</v>
      </c>
      <c r="F352" s="71">
        <v>12</v>
      </c>
      <c r="G352" s="72">
        <v>12.5</v>
      </c>
      <c r="H352" s="73">
        <v>14</v>
      </c>
      <c r="I352" s="74">
        <v>14.5</v>
      </c>
      <c r="J352" s="73">
        <v>15</v>
      </c>
      <c r="K352" s="72">
        <v>16.5</v>
      </c>
      <c r="L352" s="71">
        <v>17.5</v>
      </c>
    </row>
    <row r="353" spans="1:12" hidden="1" outlineLevel="1" x14ac:dyDescent="0.2">
      <c r="A353" s="76"/>
      <c r="B353" s="39" t="s">
        <v>131</v>
      </c>
      <c r="C353" s="39" t="s">
        <v>138</v>
      </c>
      <c r="D353" s="39" t="s">
        <v>142</v>
      </c>
      <c r="E353" s="65" t="s">
        <v>14</v>
      </c>
      <c r="F353" s="71">
        <v>6.5</v>
      </c>
      <c r="G353" s="72">
        <v>7</v>
      </c>
      <c r="H353" s="73">
        <v>8</v>
      </c>
      <c r="I353" s="74">
        <v>8</v>
      </c>
      <c r="J353" s="73">
        <v>8.5</v>
      </c>
      <c r="K353" s="72">
        <v>9.5</v>
      </c>
      <c r="L353" s="71">
        <v>10</v>
      </c>
    </row>
    <row r="354" spans="1:12" hidden="1" outlineLevel="1" x14ac:dyDescent="0.2">
      <c r="A354" s="76"/>
      <c r="B354" s="39" t="s">
        <v>131</v>
      </c>
      <c r="C354" s="39" t="s">
        <v>138</v>
      </c>
      <c r="D354" s="39" t="s">
        <v>142</v>
      </c>
      <c r="E354" s="65" t="s">
        <v>0</v>
      </c>
      <c r="F354" s="71">
        <v>16</v>
      </c>
      <c r="G354" s="72">
        <v>17.5</v>
      </c>
      <c r="H354" s="73">
        <v>19</v>
      </c>
      <c r="I354" s="74">
        <v>19.5</v>
      </c>
      <c r="J354" s="73">
        <v>20</v>
      </c>
      <c r="K354" s="72">
        <v>21.5</v>
      </c>
      <c r="L354" s="71">
        <v>22.5</v>
      </c>
    </row>
    <row r="355" spans="1:12" hidden="1" outlineLevel="1" x14ac:dyDescent="0.2">
      <c r="A355" s="76"/>
    </row>
    <row r="356" spans="1:12" collapsed="1" x14ac:dyDescent="0.2">
      <c r="A356" s="76">
        <v>269</v>
      </c>
      <c r="B356" s="39" t="s">
        <v>131</v>
      </c>
      <c r="C356" s="39" t="s">
        <v>139</v>
      </c>
      <c r="D356" s="39" t="s">
        <v>142</v>
      </c>
      <c r="E356" s="154" t="s">
        <v>201</v>
      </c>
    </row>
    <row r="357" spans="1:12" hidden="1" outlineLevel="1" x14ac:dyDescent="0.2">
      <c r="A357" s="76"/>
      <c r="B357" s="39" t="s">
        <v>131</v>
      </c>
      <c r="C357" s="39" t="s">
        <v>139</v>
      </c>
      <c r="D357" s="39" t="s">
        <v>142</v>
      </c>
      <c r="E357" s="65" t="s">
        <v>104</v>
      </c>
      <c r="F357" s="66">
        <v>0.46500000000000002</v>
      </c>
      <c r="G357" s="67">
        <v>0.495</v>
      </c>
      <c r="H357" s="68">
        <v>0.51500000000000001</v>
      </c>
      <c r="I357" s="69">
        <v>0.53500000000000003</v>
      </c>
      <c r="J357" s="68">
        <v>0.54500000000000004</v>
      </c>
      <c r="K357" s="67">
        <v>0.57999999999999996</v>
      </c>
      <c r="L357" s="66">
        <v>0.61</v>
      </c>
    </row>
    <row r="358" spans="1:12" hidden="1" outlineLevel="1" x14ac:dyDescent="0.2">
      <c r="A358" s="76"/>
      <c r="B358" s="39" t="s">
        <v>131</v>
      </c>
      <c r="C358" s="39" t="s">
        <v>139</v>
      </c>
      <c r="D358" s="39" t="s">
        <v>142</v>
      </c>
      <c r="E358" s="65" t="s">
        <v>105</v>
      </c>
      <c r="F358" s="69"/>
      <c r="G358" s="69"/>
      <c r="H358" s="68">
        <v>1.4999999999999999E-2</v>
      </c>
      <c r="I358" s="69">
        <v>0.02</v>
      </c>
      <c r="J358" s="68">
        <v>2.5000000000000001E-2</v>
      </c>
      <c r="K358" s="67">
        <v>3.5000000000000003E-2</v>
      </c>
      <c r="L358" s="66">
        <v>4.4999999999999998E-2</v>
      </c>
    </row>
    <row r="359" spans="1:12" hidden="1" outlineLevel="1" x14ac:dyDescent="0.2">
      <c r="A359" s="76"/>
      <c r="B359" s="39" t="s">
        <v>131</v>
      </c>
      <c r="C359" s="39" t="s">
        <v>139</v>
      </c>
      <c r="D359" s="39" t="s">
        <v>142</v>
      </c>
      <c r="E359" s="65" t="s">
        <v>106</v>
      </c>
      <c r="F359" s="69"/>
      <c r="G359" s="69"/>
      <c r="H359" s="68">
        <v>9.5000000000000001E-2</v>
      </c>
      <c r="I359" s="69">
        <v>0.105</v>
      </c>
      <c r="J359" s="68">
        <v>0.115</v>
      </c>
      <c r="K359" s="67">
        <v>0.13500000000000001</v>
      </c>
      <c r="L359" s="66">
        <v>0.15</v>
      </c>
    </row>
    <row r="360" spans="1:12" hidden="1" outlineLevel="1" x14ac:dyDescent="0.2">
      <c r="A360" s="76"/>
      <c r="B360" s="39" t="s">
        <v>131</v>
      </c>
      <c r="C360" s="39" t="s">
        <v>139</v>
      </c>
      <c r="D360" s="39" t="s">
        <v>142</v>
      </c>
      <c r="E360" s="65" t="s">
        <v>107</v>
      </c>
      <c r="F360" s="69"/>
      <c r="G360" s="69"/>
      <c r="H360" s="69"/>
      <c r="I360" s="69">
        <v>0.06</v>
      </c>
      <c r="J360" s="69"/>
      <c r="K360" s="67">
        <v>8.5000000000000006E-2</v>
      </c>
      <c r="L360" s="66">
        <v>0.105</v>
      </c>
    </row>
    <row r="361" spans="1:12" hidden="1" outlineLevel="1" x14ac:dyDescent="0.2">
      <c r="A361" s="76"/>
      <c r="B361" s="39" t="s">
        <v>131</v>
      </c>
      <c r="C361" s="39" t="s">
        <v>139</v>
      </c>
      <c r="D361" s="39" t="s">
        <v>142</v>
      </c>
      <c r="E361" s="65" t="s">
        <v>108</v>
      </c>
      <c r="F361" s="69"/>
      <c r="G361" s="69"/>
      <c r="H361" s="69"/>
      <c r="I361" s="69">
        <v>0.02</v>
      </c>
      <c r="J361" s="69"/>
      <c r="K361" s="67">
        <v>0.03</v>
      </c>
      <c r="L361" s="66">
        <v>0.04</v>
      </c>
    </row>
    <row r="362" spans="1:12" hidden="1" outlineLevel="1" x14ac:dyDescent="0.2">
      <c r="A362" s="76"/>
      <c r="B362" s="39" t="s">
        <v>131</v>
      </c>
      <c r="C362" s="39" t="s">
        <v>139</v>
      </c>
      <c r="D362" s="39" t="s">
        <v>142</v>
      </c>
      <c r="E362" s="65" t="s">
        <v>109</v>
      </c>
      <c r="F362" s="69"/>
      <c r="G362" s="69"/>
      <c r="H362" s="69"/>
      <c r="I362" s="69">
        <v>5.5E-2</v>
      </c>
      <c r="J362" s="69"/>
      <c r="K362" s="67">
        <v>7.4999999999999997E-2</v>
      </c>
      <c r="L362" s="66">
        <v>9.5000000000000001E-2</v>
      </c>
    </row>
    <row r="363" spans="1:12" hidden="1" outlineLevel="1" x14ac:dyDescent="0.2">
      <c r="A363" s="76"/>
      <c r="B363" s="39" t="s">
        <v>131</v>
      </c>
      <c r="C363" s="39" t="s">
        <v>139</v>
      </c>
      <c r="D363" s="39" t="s">
        <v>142</v>
      </c>
      <c r="E363" s="65" t="s">
        <v>110</v>
      </c>
      <c r="F363" s="66">
        <v>0.04</v>
      </c>
      <c r="G363" s="67">
        <v>4.4999999999999998E-2</v>
      </c>
      <c r="H363" s="68">
        <v>5.5E-2</v>
      </c>
      <c r="I363" s="69">
        <v>0.06</v>
      </c>
      <c r="J363" s="68">
        <v>6.5000000000000002E-2</v>
      </c>
      <c r="K363" s="69"/>
      <c r="L363" s="69"/>
    </row>
    <row r="364" spans="1:12" hidden="1" outlineLevel="1" x14ac:dyDescent="0.2">
      <c r="A364" s="76"/>
      <c r="B364" s="39" t="s">
        <v>131</v>
      </c>
      <c r="C364" s="39" t="s">
        <v>139</v>
      </c>
      <c r="D364" s="39" t="s">
        <v>142</v>
      </c>
      <c r="E364" s="70" t="s">
        <v>111</v>
      </c>
      <c r="F364" s="69"/>
      <c r="G364" s="69"/>
      <c r="H364" s="69"/>
      <c r="I364" s="69">
        <v>0.01</v>
      </c>
      <c r="J364" s="69"/>
      <c r="K364" s="67">
        <v>1.4999999999999999E-2</v>
      </c>
      <c r="L364" s="66">
        <v>0.02</v>
      </c>
    </row>
    <row r="365" spans="1:12" hidden="1" outlineLevel="1" x14ac:dyDescent="0.2">
      <c r="A365" s="76"/>
      <c r="B365" s="39" t="s">
        <v>131</v>
      </c>
      <c r="C365" s="39" t="s">
        <v>139</v>
      </c>
      <c r="D365" s="39" t="s">
        <v>142</v>
      </c>
      <c r="E365" s="65" t="s">
        <v>34</v>
      </c>
      <c r="F365" s="69"/>
      <c r="G365" s="69"/>
      <c r="H365" s="68">
        <v>0.06</v>
      </c>
      <c r="I365" s="69">
        <v>6.5000000000000002E-2</v>
      </c>
      <c r="J365" s="68">
        <v>7.0000000000000007E-2</v>
      </c>
      <c r="K365" s="67">
        <v>0.09</v>
      </c>
      <c r="L365" s="66">
        <v>0.1</v>
      </c>
    </row>
    <row r="366" spans="1:12" hidden="1" outlineLevel="1" x14ac:dyDescent="0.2">
      <c r="A366" s="76"/>
      <c r="B366" s="39" t="s">
        <v>131</v>
      </c>
      <c r="C366" s="39" t="s">
        <v>139</v>
      </c>
      <c r="D366" s="39" t="s">
        <v>142</v>
      </c>
      <c r="E366" s="65" t="s">
        <v>4</v>
      </c>
      <c r="F366" s="71">
        <v>12.5</v>
      </c>
      <c r="G366" s="72">
        <v>13</v>
      </c>
      <c r="H366" s="73">
        <v>14</v>
      </c>
      <c r="I366" s="74">
        <v>14.5</v>
      </c>
      <c r="J366" s="73">
        <v>15</v>
      </c>
      <c r="K366" s="72">
        <v>16.5</v>
      </c>
      <c r="L366" s="71">
        <v>17</v>
      </c>
    </row>
    <row r="367" spans="1:12" hidden="1" outlineLevel="1" x14ac:dyDescent="0.2">
      <c r="A367" s="76"/>
      <c r="B367" s="39" t="s">
        <v>131</v>
      </c>
      <c r="C367" s="39" t="s">
        <v>139</v>
      </c>
      <c r="D367" s="39" t="s">
        <v>142</v>
      </c>
      <c r="E367" s="65" t="s">
        <v>14</v>
      </c>
      <c r="F367" s="71">
        <v>7</v>
      </c>
      <c r="G367" s="72">
        <v>8</v>
      </c>
      <c r="H367" s="73">
        <v>8.5</v>
      </c>
      <c r="I367" s="74">
        <v>9</v>
      </c>
      <c r="J367" s="73">
        <v>9</v>
      </c>
      <c r="K367" s="72">
        <v>9.5</v>
      </c>
      <c r="L367" s="71">
        <v>10.5</v>
      </c>
    </row>
    <row r="368" spans="1:12" hidden="1" outlineLevel="1" x14ac:dyDescent="0.2">
      <c r="A368" s="76"/>
      <c r="B368" s="39" t="s">
        <v>131</v>
      </c>
      <c r="C368" s="39" t="s">
        <v>139</v>
      </c>
      <c r="D368" s="39" t="s">
        <v>142</v>
      </c>
      <c r="E368" s="65" t="s">
        <v>0</v>
      </c>
      <c r="F368" s="71">
        <v>18</v>
      </c>
      <c r="G368" s="72">
        <v>18.5</v>
      </c>
      <c r="H368" s="73">
        <v>19.5</v>
      </c>
      <c r="I368" s="74">
        <v>20</v>
      </c>
      <c r="J368" s="73">
        <v>20.5</v>
      </c>
      <c r="K368" s="72">
        <v>21.5</v>
      </c>
      <c r="L368" s="71">
        <v>22.5</v>
      </c>
    </row>
    <row r="369" spans="1:12" hidden="1" outlineLevel="1" x14ac:dyDescent="0.2">
      <c r="A369" s="76"/>
    </row>
    <row r="370" spans="1:12" collapsed="1" x14ac:dyDescent="0.2">
      <c r="A370" s="76">
        <v>64</v>
      </c>
      <c r="B370" s="39" t="s">
        <v>131</v>
      </c>
      <c r="C370" s="39" t="s">
        <v>140</v>
      </c>
      <c r="D370" s="39" t="s">
        <v>142</v>
      </c>
      <c r="E370" s="154" t="s">
        <v>202</v>
      </c>
    </row>
    <row r="371" spans="1:12" hidden="1" outlineLevel="1" x14ac:dyDescent="0.2">
      <c r="A371" s="76"/>
      <c r="B371" s="39" t="s">
        <v>131</v>
      </c>
      <c r="C371" s="39" t="s">
        <v>140</v>
      </c>
      <c r="D371" s="39" t="s">
        <v>142</v>
      </c>
      <c r="E371" s="65" t="s">
        <v>104</v>
      </c>
      <c r="F371" s="66">
        <v>0.47499999999999998</v>
      </c>
      <c r="G371" s="67">
        <v>0.5</v>
      </c>
      <c r="H371" s="68">
        <v>0.52500000000000002</v>
      </c>
      <c r="I371" s="69">
        <v>0.53</v>
      </c>
      <c r="J371" s="68">
        <v>0.55500000000000005</v>
      </c>
      <c r="K371" s="67">
        <v>0.57999999999999996</v>
      </c>
      <c r="L371" s="66">
        <v>0.61</v>
      </c>
    </row>
    <row r="372" spans="1:12" hidden="1" outlineLevel="1" x14ac:dyDescent="0.2">
      <c r="A372" s="76"/>
      <c r="B372" s="39" t="s">
        <v>131</v>
      </c>
      <c r="C372" s="39" t="s">
        <v>140</v>
      </c>
      <c r="D372" s="39" t="s">
        <v>142</v>
      </c>
      <c r="E372" s="65" t="s">
        <v>105</v>
      </c>
      <c r="F372" s="69"/>
      <c r="G372" s="69"/>
      <c r="H372" s="68">
        <v>1.4999999999999999E-2</v>
      </c>
      <c r="I372" s="69">
        <v>0.02</v>
      </c>
      <c r="J372" s="68">
        <v>2.5000000000000001E-2</v>
      </c>
      <c r="K372" s="67">
        <v>3.5000000000000003E-2</v>
      </c>
      <c r="L372" s="66">
        <v>4.4999999999999998E-2</v>
      </c>
    </row>
    <row r="373" spans="1:12" hidden="1" outlineLevel="1" x14ac:dyDescent="0.2">
      <c r="A373" s="76"/>
      <c r="B373" s="39" t="s">
        <v>131</v>
      </c>
      <c r="C373" s="39" t="s">
        <v>140</v>
      </c>
      <c r="D373" s="39" t="s">
        <v>142</v>
      </c>
      <c r="E373" s="65" t="s">
        <v>106</v>
      </c>
      <c r="F373" s="69"/>
      <c r="G373" s="69"/>
      <c r="H373" s="68">
        <v>0.1</v>
      </c>
      <c r="I373" s="69">
        <v>0.105</v>
      </c>
      <c r="J373" s="68">
        <v>0.115</v>
      </c>
      <c r="K373" s="67">
        <v>0.13500000000000001</v>
      </c>
      <c r="L373" s="66">
        <v>0.14000000000000001</v>
      </c>
    </row>
    <row r="374" spans="1:12" hidden="1" outlineLevel="1" x14ac:dyDescent="0.2">
      <c r="A374" s="76"/>
      <c r="B374" s="39" t="s">
        <v>131</v>
      </c>
      <c r="C374" s="39" t="s">
        <v>140</v>
      </c>
      <c r="D374" s="39" t="s">
        <v>142</v>
      </c>
      <c r="E374" s="65" t="s">
        <v>107</v>
      </c>
      <c r="F374" s="69"/>
      <c r="G374" s="69"/>
      <c r="H374" s="69"/>
      <c r="I374" s="69">
        <v>0.06</v>
      </c>
      <c r="J374" s="69"/>
      <c r="K374" s="67">
        <v>0.08</v>
      </c>
      <c r="L374" s="66">
        <v>0.09</v>
      </c>
    </row>
    <row r="375" spans="1:12" hidden="1" outlineLevel="1" x14ac:dyDescent="0.2">
      <c r="A375" s="76"/>
      <c r="B375" s="39" t="s">
        <v>131</v>
      </c>
      <c r="C375" s="39" t="s">
        <v>140</v>
      </c>
      <c r="D375" s="39" t="s">
        <v>142</v>
      </c>
      <c r="E375" s="65" t="s">
        <v>108</v>
      </c>
      <c r="F375" s="69"/>
      <c r="G375" s="69"/>
      <c r="H375" s="69"/>
      <c r="I375" s="69">
        <v>1.4999999999999999E-2</v>
      </c>
      <c r="J375" s="69"/>
      <c r="K375" s="67">
        <v>0.03</v>
      </c>
      <c r="L375" s="66">
        <v>0.05</v>
      </c>
    </row>
    <row r="376" spans="1:12" hidden="1" outlineLevel="1" x14ac:dyDescent="0.2">
      <c r="A376" s="76"/>
      <c r="B376" s="39" t="s">
        <v>131</v>
      </c>
      <c r="C376" s="39" t="s">
        <v>140</v>
      </c>
      <c r="D376" s="39" t="s">
        <v>142</v>
      </c>
      <c r="E376" s="65" t="s">
        <v>109</v>
      </c>
      <c r="F376" s="69"/>
      <c r="G376" s="69"/>
      <c r="H376" s="69"/>
      <c r="I376" s="69">
        <v>0.05</v>
      </c>
      <c r="J376" s="69"/>
      <c r="K376" s="67">
        <v>7.4999999999999997E-2</v>
      </c>
      <c r="L376" s="66">
        <v>0.11</v>
      </c>
    </row>
    <row r="377" spans="1:12" hidden="1" outlineLevel="1" x14ac:dyDescent="0.2">
      <c r="A377" s="76"/>
      <c r="B377" s="39" t="s">
        <v>131</v>
      </c>
      <c r="C377" s="39" t="s">
        <v>140</v>
      </c>
      <c r="D377" s="39" t="s">
        <v>142</v>
      </c>
      <c r="E377" s="65" t="s">
        <v>110</v>
      </c>
      <c r="F377" s="66">
        <v>0.04</v>
      </c>
      <c r="G377" s="67">
        <v>0.05</v>
      </c>
      <c r="H377" s="68">
        <v>5.5E-2</v>
      </c>
      <c r="I377" s="69">
        <v>0.06</v>
      </c>
      <c r="J377" s="68">
        <v>0.06</v>
      </c>
      <c r="K377" s="69"/>
      <c r="L377" s="69"/>
    </row>
    <row r="378" spans="1:12" hidden="1" outlineLevel="1" x14ac:dyDescent="0.2">
      <c r="A378" s="76"/>
      <c r="B378" s="39" t="s">
        <v>131</v>
      </c>
      <c r="C378" s="39" t="s">
        <v>140</v>
      </c>
      <c r="D378" s="39" t="s">
        <v>142</v>
      </c>
      <c r="E378" s="70" t="s">
        <v>111</v>
      </c>
      <c r="F378" s="69"/>
      <c r="G378" s="69"/>
      <c r="H378" s="69"/>
      <c r="I378" s="69">
        <v>0.01</v>
      </c>
      <c r="J378" s="69"/>
      <c r="K378" s="67">
        <v>1.4999999999999999E-2</v>
      </c>
      <c r="L378" s="66">
        <v>0.02</v>
      </c>
    </row>
    <row r="379" spans="1:12" hidden="1" outlineLevel="1" x14ac:dyDescent="0.2">
      <c r="A379" s="76"/>
      <c r="B379" s="39" t="s">
        <v>131</v>
      </c>
      <c r="C379" s="39" t="s">
        <v>140</v>
      </c>
      <c r="D379" s="39" t="s">
        <v>142</v>
      </c>
      <c r="E379" s="65" t="s">
        <v>34</v>
      </c>
      <c r="F379" s="69"/>
      <c r="G379" s="69"/>
      <c r="H379" s="68">
        <v>0.05</v>
      </c>
      <c r="I379" s="69">
        <v>5.5E-2</v>
      </c>
      <c r="J379" s="68">
        <v>0.06</v>
      </c>
      <c r="K379" s="67">
        <v>7.4999999999999997E-2</v>
      </c>
      <c r="L379" s="66">
        <v>0.09</v>
      </c>
    </row>
    <row r="380" spans="1:12" hidden="1" outlineLevel="1" x14ac:dyDescent="0.2">
      <c r="A380" s="76"/>
      <c r="B380" s="39" t="s">
        <v>131</v>
      </c>
      <c r="C380" s="39" t="s">
        <v>140</v>
      </c>
      <c r="D380" s="39" t="s">
        <v>142</v>
      </c>
      <c r="E380" s="65" t="s">
        <v>4</v>
      </c>
      <c r="F380" s="71">
        <v>13.5</v>
      </c>
      <c r="G380" s="72">
        <v>14</v>
      </c>
      <c r="H380" s="73">
        <v>15</v>
      </c>
      <c r="I380" s="74">
        <v>15</v>
      </c>
      <c r="J380" s="73">
        <v>15.5</v>
      </c>
      <c r="K380" s="72">
        <v>16.5</v>
      </c>
      <c r="L380" s="71">
        <v>17</v>
      </c>
    </row>
    <row r="381" spans="1:12" hidden="1" outlineLevel="1" x14ac:dyDescent="0.2">
      <c r="A381" s="76"/>
      <c r="B381" s="39" t="s">
        <v>131</v>
      </c>
      <c r="C381" s="39" t="s">
        <v>140</v>
      </c>
      <c r="D381" s="39" t="s">
        <v>142</v>
      </c>
      <c r="E381" s="65" t="s">
        <v>14</v>
      </c>
      <c r="F381" s="71">
        <v>7.5</v>
      </c>
      <c r="G381" s="72">
        <v>8.5</v>
      </c>
      <c r="H381" s="73">
        <v>9</v>
      </c>
      <c r="I381" s="74">
        <v>9.5</v>
      </c>
      <c r="J381" s="73">
        <v>9.5</v>
      </c>
      <c r="K381" s="72">
        <v>10</v>
      </c>
      <c r="L381" s="71">
        <v>10.5</v>
      </c>
    </row>
    <row r="382" spans="1:12" hidden="1" outlineLevel="1" x14ac:dyDescent="0.2">
      <c r="A382" s="76"/>
      <c r="B382" s="39" t="s">
        <v>131</v>
      </c>
      <c r="C382" s="39" t="s">
        <v>140</v>
      </c>
      <c r="D382" s="39" t="s">
        <v>142</v>
      </c>
      <c r="E382" s="65" t="s">
        <v>0</v>
      </c>
      <c r="F382" s="71">
        <v>18.5</v>
      </c>
      <c r="G382" s="72">
        <v>19</v>
      </c>
      <c r="H382" s="73">
        <v>20</v>
      </c>
      <c r="I382" s="74">
        <v>20.5</v>
      </c>
      <c r="J382" s="73">
        <v>20.5</v>
      </c>
      <c r="K382" s="72">
        <v>22</v>
      </c>
      <c r="L382" s="71">
        <v>22.5</v>
      </c>
    </row>
    <row r="383" spans="1:12" hidden="1" outlineLevel="1" x14ac:dyDescent="0.2">
      <c r="A383" s="76"/>
    </row>
    <row r="384" spans="1:12" collapsed="1" x14ac:dyDescent="0.2">
      <c r="A384" s="76">
        <v>51</v>
      </c>
      <c r="B384" s="39" t="s">
        <v>132</v>
      </c>
      <c r="C384" s="39" t="s">
        <v>138</v>
      </c>
      <c r="D384" s="39" t="s">
        <v>142</v>
      </c>
      <c r="E384" s="154" t="s">
        <v>203</v>
      </c>
    </row>
    <row r="385" spans="1:12" hidden="1" outlineLevel="1" x14ac:dyDescent="0.2">
      <c r="A385" s="76"/>
      <c r="B385" s="39" t="s">
        <v>132</v>
      </c>
      <c r="C385" s="39" t="s">
        <v>138</v>
      </c>
      <c r="D385" s="39" t="s">
        <v>142</v>
      </c>
      <c r="E385" s="65" t="s">
        <v>104</v>
      </c>
      <c r="F385" s="66">
        <v>0.4</v>
      </c>
      <c r="G385" s="67">
        <v>0.42499999999999999</v>
      </c>
      <c r="H385" s="68">
        <v>0.46500000000000002</v>
      </c>
      <c r="I385" s="69">
        <v>0.48499999999999999</v>
      </c>
      <c r="J385" s="68">
        <v>0.5</v>
      </c>
      <c r="K385" s="67">
        <v>0.53</v>
      </c>
      <c r="L385" s="66">
        <v>0.57499999999999996</v>
      </c>
    </row>
    <row r="386" spans="1:12" hidden="1" outlineLevel="1" x14ac:dyDescent="0.2">
      <c r="A386" s="76"/>
      <c r="B386" s="39" t="s">
        <v>132</v>
      </c>
      <c r="C386" s="39" t="s">
        <v>138</v>
      </c>
      <c r="D386" s="39" t="s">
        <v>142</v>
      </c>
      <c r="E386" s="65" t="s">
        <v>105</v>
      </c>
      <c r="F386" s="69"/>
      <c r="G386" s="69"/>
      <c r="H386" s="68">
        <v>1.4999999999999999E-2</v>
      </c>
      <c r="I386" s="69">
        <v>2.5000000000000001E-2</v>
      </c>
      <c r="J386" s="68">
        <v>0.03</v>
      </c>
      <c r="K386" s="67">
        <v>4.4999999999999998E-2</v>
      </c>
      <c r="L386" s="66">
        <v>6.5000000000000002E-2</v>
      </c>
    </row>
    <row r="387" spans="1:12" hidden="1" outlineLevel="1" x14ac:dyDescent="0.2">
      <c r="A387" s="76"/>
      <c r="B387" s="39" t="s">
        <v>132</v>
      </c>
      <c r="C387" s="39" t="s">
        <v>138</v>
      </c>
      <c r="D387" s="39" t="s">
        <v>142</v>
      </c>
      <c r="E387" s="65" t="s">
        <v>106</v>
      </c>
      <c r="F387" s="69"/>
      <c r="G387" s="69"/>
      <c r="H387" s="68">
        <v>0.09</v>
      </c>
      <c r="I387" s="69">
        <v>0.1</v>
      </c>
      <c r="J387" s="68">
        <v>0.115</v>
      </c>
      <c r="K387" s="67">
        <v>0.14000000000000001</v>
      </c>
      <c r="L387" s="66">
        <v>0.16500000000000001</v>
      </c>
    </row>
    <row r="388" spans="1:12" hidden="1" outlineLevel="1" x14ac:dyDescent="0.2">
      <c r="A388" s="76"/>
      <c r="B388" s="39" t="s">
        <v>132</v>
      </c>
      <c r="C388" s="39" t="s">
        <v>138</v>
      </c>
      <c r="D388" s="39" t="s">
        <v>142</v>
      </c>
      <c r="E388" s="65" t="s">
        <v>107</v>
      </c>
      <c r="F388" s="69"/>
      <c r="G388" s="69"/>
      <c r="H388" s="69"/>
      <c r="I388" s="69">
        <v>7.4999999999999997E-2</v>
      </c>
      <c r="J388" s="69"/>
      <c r="K388" s="67">
        <v>0.105</v>
      </c>
      <c r="L388" s="66">
        <v>0.115</v>
      </c>
    </row>
    <row r="389" spans="1:12" hidden="1" outlineLevel="1" x14ac:dyDescent="0.2">
      <c r="A389" s="76"/>
      <c r="B389" s="39" t="s">
        <v>132</v>
      </c>
      <c r="C389" s="39" t="s">
        <v>138</v>
      </c>
      <c r="D389" s="39" t="s">
        <v>142</v>
      </c>
      <c r="E389" s="65" t="s">
        <v>108</v>
      </c>
      <c r="F389" s="69"/>
      <c r="G389" s="69"/>
      <c r="H389" s="69"/>
      <c r="I389" s="69">
        <v>1.4999999999999999E-2</v>
      </c>
      <c r="J389" s="69"/>
      <c r="K389" s="67">
        <v>3.5000000000000003E-2</v>
      </c>
      <c r="L389" s="66">
        <v>0.05</v>
      </c>
    </row>
    <row r="390" spans="1:12" hidden="1" outlineLevel="1" x14ac:dyDescent="0.2">
      <c r="A390" s="76"/>
      <c r="B390" s="39" t="s">
        <v>132</v>
      </c>
      <c r="C390" s="39" t="s">
        <v>138</v>
      </c>
      <c r="D390" s="39" t="s">
        <v>142</v>
      </c>
      <c r="E390" s="65" t="s">
        <v>109</v>
      </c>
      <c r="F390" s="69"/>
      <c r="G390" s="69"/>
      <c r="H390" s="69"/>
      <c r="I390" s="69">
        <v>6.5000000000000002E-2</v>
      </c>
      <c r="J390" s="69"/>
      <c r="K390" s="67">
        <v>8.5000000000000006E-2</v>
      </c>
      <c r="L390" s="66">
        <v>9.5000000000000001E-2</v>
      </c>
    </row>
    <row r="391" spans="1:12" hidden="1" outlineLevel="1" x14ac:dyDescent="0.2">
      <c r="A391" s="76"/>
      <c r="B391" s="39" t="s">
        <v>132</v>
      </c>
      <c r="C391" s="39" t="s">
        <v>138</v>
      </c>
      <c r="D391" s="39" t="s">
        <v>142</v>
      </c>
      <c r="E391" s="65" t="s">
        <v>110</v>
      </c>
      <c r="F391" s="66">
        <v>2.5000000000000001E-2</v>
      </c>
      <c r="G391" s="67">
        <v>0.04</v>
      </c>
      <c r="H391" s="68">
        <v>0.05</v>
      </c>
      <c r="I391" s="69">
        <v>5.5E-2</v>
      </c>
      <c r="J391" s="68">
        <v>0.06</v>
      </c>
      <c r="K391" s="69"/>
      <c r="L391" s="69"/>
    </row>
    <row r="392" spans="1:12" hidden="1" outlineLevel="1" x14ac:dyDescent="0.2">
      <c r="A392" s="76"/>
      <c r="B392" s="39" t="s">
        <v>132</v>
      </c>
      <c r="C392" s="39" t="s">
        <v>138</v>
      </c>
      <c r="D392" s="39" t="s">
        <v>142</v>
      </c>
      <c r="E392" s="65" t="s">
        <v>111</v>
      </c>
      <c r="F392" s="69"/>
      <c r="G392" s="69"/>
      <c r="H392" s="69"/>
      <c r="I392" s="69">
        <v>0.01</v>
      </c>
      <c r="J392" s="69"/>
      <c r="K392" s="67">
        <v>1.4999999999999999E-2</v>
      </c>
      <c r="L392" s="66">
        <v>0.02</v>
      </c>
    </row>
    <row r="393" spans="1:12" hidden="1" outlineLevel="1" x14ac:dyDescent="0.2">
      <c r="A393" s="76"/>
      <c r="B393" s="39" t="s">
        <v>132</v>
      </c>
      <c r="C393" s="39" t="s">
        <v>138</v>
      </c>
      <c r="D393" s="39" t="s">
        <v>142</v>
      </c>
      <c r="E393" s="65" t="s">
        <v>34</v>
      </c>
      <c r="F393" s="69"/>
      <c r="G393" s="69"/>
      <c r="H393" s="68">
        <v>0.08</v>
      </c>
      <c r="I393" s="69">
        <v>8.5000000000000006E-2</v>
      </c>
      <c r="J393" s="68">
        <v>9.5000000000000001E-2</v>
      </c>
      <c r="K393" s="67">
        <v>0.125</v>
      </c>
      <c r="L393" s="66">
        <v>0.14000000000000001</v>
      </c>
    </row>
    <row r="394" spans="1:12" hidden="1" outlineLevel="1" x14ac:dyDescent="0.2">
      <c r="A394" s="76"/>
      <c r="B394" s="39" t="s">
        <v>132</v>
      </c>
      <c r="C394" s="39" t="s">
        <v>138</v>
      </c>
      <c r="D394" s="39" t="s">
        <v>142</v>
      </c>
      <c r="E394" s="65" t="s">
        <v>4</v>
      </c>
      <c r="F394" s="71">
        <v>10.5</v>
      </c>
      <c r="G394" s="72">
        <v>12</v>
      </c>
      <c r="H394" s="73">
        <v>13</v>
      </c>
      <c r="I394" s="74">
        <v>13.5</v>
      </c>
      <c r="J394" s="73">
        <v>14</v>
      </c>
      <c r="K394" s="72">
        <v>16</v>
      </c>
      <c r="L394" s="71">
        <v>17</v>
      </c>
    </row>
    <row r="395" spans="1:12" hidden="1" outlineLevel="1" x14ac:dyDescent="0.2">
      <c r="A395" s="76"/>
      <c r="B395" s="39" t="s">
        <v>132</v>
      </c>
      <c r="C395" s="39" t="s">
        <v>138</v>
      </c>
      <c r="D395" s="39" t="s">
        <v>142</v>
      </c>
      <c r="E395" s="65" t="s">
        <v>14</v>
      </c>
      <c r="F395" s="71">
        <v>5.5</v>
      </c>
      <c r="G395" s="72">
        <v>6.5</v>
      </c>
      <c r="H395" s="73">
        <v>7</v>
      </c>
      <c r="I395" s="74">
        <v>7.5</v>
      </c>
      <c r="J395" s="73">
        <v>8</v>
      </c>
      <c r="K395" s="72">
        <v>9</v>
      </c>
      <c r="L395" s="71">
        <v>10</v>
      </c>
    </row>
    <row r="396" spans="1:12" hidden="1" outlineLevel="1" x14ac:dyDescent="0.2">
      <c r="A396" s="76"/>
      <c r="B396" s="39" t="s">
        <v>132</v>
      </c>
      <c r="C396" s="39" t="s">
        <v>138</v>
      </c>
      <c r="D396" s="39" t="s">
        <v>142</v>
      </c>
      <c r="E396" s="65" t="s">
        <v>0</v>
      </c>
      <c r="F396" s="71">
        <v>17.5</v>
      </c>
      <c r="G396" s="72">
        <v>18</v>
      </c>
      <c r="H396" s="73">
        <v>20.5</v>
      </c>
      <c r="I396" s="74">
        <v>21</v>
      </c>
      <c r="J396" s="73">
        <v>21.5</v>
      </c>
      <c r="K396" s="72">
        <v>23.5</v>
      </c>
      <c r="L396" s="71">
        <v>24.5</v>
      </c>
    </row>
    <row r="397" spans="1:12" hidden="1" outlineLevel="1" x14ac:dyDescent="0.2">
      <c r="A397" s="76"/>
    </row>
    <row r="398" spans="1:12" collapsed="1" x14ac:dyDescent="0.2">
      <c r="A398" s="76">
        <v>114</v>
      </c>
      <c r="B398" s="39" t="s">
        <v>132</v>
      </c>
      <c r="C398" s="39" t="s">
        <v>139</v>
      </c>
      <c r="D398" s="39" t="s">
        <v>142</v>
      </c>
      <c r="E398" s="154" t="s">
        <v>204</v>
      </c>
    </row>
    <row r="399" spans="1:12" hidden="1" outlineLevel="1" x14ac:dyDescent="0.2">
      <c r="A399" s="76"/>
      <c r="B399" s="39" t="s">
        <v>132</v>
      </c>
      <c r="C399" s="39" t="s">
        <v>139</v>
      </c>
      <c r="D399" s="39" t="s">
        <v>142</v>
      </c>
      <c r="E399" s="65" t="s">
        <v>104</v>
      </c>
      <c r="F399" s="66">
        <v>0.44</v>
      </c>
      <c r="G399" s="67">
        <v>0.46500000000000002</v>
      </c>
      <c r="H399" s="68">
        <v>0.49</v>
      </c>
      <c r="I399" s="69">
        <v>0.505</v>
      </c>
      <c r="J399" s="68">
        <v>0.51500000000000001</v>
      </c>
      <c r="K399" s="67">
        <v>0.55000000000000004</v>
      </c>
      <c r="L399" s="66">
        <v>0.57999999999999996</v>
      </c>
    </row>
    <row r="400" spans="1:12" hidden="1" outlineLevel="1" x14ac:dyDescent="0.2">
      <c r="A400" s="76"/>
      <c r="B400" s="39" t="s">
        <v>132</v>
      </c>
      <c r="C400" s="39" t="s">
        <v>139</v>
      </c>
      <c r="D400" s="39" t="s">
        <v>142</v>
      </c>
      <c r="E400" s="65" t="s">
        <v>105</v>
      </c>
      <c r="F400" s="69"/>
      <c r="G400" s="69"/>
      <c r="H400" s="68">
        <v>1.4999999999999999E-2</v>
      </c>
      <c r="I400" s="69">
        <v>0.02</v>
      </c>
      <c r="J400" s="68">
        <v>2.5000000000000001E-2</v>
      </c>
      <c r="K400" s="67">
        <v>0.04</v>
      </c>
      <c r="L400" s="66">
        <v>4.4999999999999998E-2</v>
      </c>
    </row>
    <row r="401" spans="1:12" hidden="1" outlineLevel="1" x14ac:dyDescent="0.2">
      <c r="A401" s="76"/>
      <c r="B401" s="39" t="s">
        <v>132</v>
      </c>
      <c r="C401" s="39" t="s">
        <v>139</v>
      </c>
      <c r="D401" s="39" t="s">
        <v>142</v>
      </c>
      <c r="E401" s="65" t="s">
        <v>106</v>
      </c>
      <c r="F401" s="69"/>
      <c r="G401" s="69"/>
      <c r="H401" s="68">
        <v>0.105</v>
      </c>
      <c r="I401" s="69">
        <v>0.11</v>
      </c>
      <c r="J401" s="68">
        <v>0.12</v>
      </c>
      <c r="K401" s="67">
        <v>0.14000000000000001</v>
      </c>
      <c r="L401" s="66">
        <v>0.16</v>
      </c>
    </row>
    <row r="402" spans="1:12" hidden="1" outlineLevel="1" x14ac:dyDescent="0.2">
      <c r="A402" s="76"/>
      <c r="B402" s="39" t="s">
        <v>132</v>
      </c>
      <c r="C402" s="39" t="s">
        <v>139</v>
      </c>
      <c r="D402" s="39" t="s">
        <v>142</v>
      </c>
      <c r="E402" s="65" t="s">
        <v>107</v>
      </c>
      <c r="F402" s="69"/>
      <c r="G402" s="69"/>
      <c r="H402" s="69"/>
      <c r="I402" s="69">
        <v>6.5000000000000002E-2</v>
      </c>
      <c r="J402" s="69"/>
      <c r="K402" s="67">
        <v>8.5000000000000006E-2</v>
      </c>
      <c r="L402" s="66">
        <v>0.105</v>
      </c>
    </row>
    <row r="403" spans="1:12" hidden="1" outlineLevel="1" x14ac:dyDescent="0.2">
      <c r="A403" s="76"/>
      <c r="B403" s="39" t="s">
        <v>132</v>
      </c>
      <c r="C403" s="39" t="s">
        <v>139</v>
      </c>
      <c r="D403" s="39" t="s">
        <v>142</v>
      </c>
      <c r="E403" s="65" t="s">
        <v>108</v>
      </c>
      <c r="F403" s="69"/>
      <c r="G403" s="69"/>
      <c r="H403" s="69"/>
      <c r="I403" s="69">
        <v>1.4999999999999999E-2</v>
      </c>
      <c r="J403" s="69"/>
      <c r="K403" s="67">
        <v>0.03</v>
      </c>
      <c r="L403" s="66">
        <v>4.4999999999999998E-2</v>
      </c>
    </row>
    <row r="404" spans="1:12" hidden="1" outlineLevel="1" x14ac:dyDescent="0.2">
      <c r="A404" s="76"/>
      <c r="B404" s="39" t="s">
        <v>132</v>
      </c>
      <c r="C404" s="39" t="s">
        <v>139</v>
      </c>
      <c r="D404" s="39" t="s">
        <v>142</v>
      </c>
      <c r="E404" s="65" t="s">
        <v>109</v>
      </c>
      <c r="F404" s="69"/>
      <c r="G404" s="69"/>
      <c r="H404" s="69"/>
      <c r="I404" s="69">
        <v>0.06</v>
      </c>
      <c r="J404" s="69"/>
      <c r="K404" s="67">
        <v>0.09</v>
      </c>
      <c r="L404" s="66">
        <v>0.14499999999999999</v>
      </c>
    </row>
    <row r="405" spans="1:12" hidden="1" outlineLevel="1" x14ac:dyDescent="0.2">
      <c r="A405" s="76"/>
      <c r="B405" s="39" t="s">
        <v>132</v>
      </c>
      <c r="C405" s="39" t="s">
        <v>139</v>
      </c>
      <c r="D405" s="39" t="s">
        <v>142</v>
      </c>
      <c r="E405" s="65" t="s">
        <v>110</v>
      </c>
      <c r="F405" s="66">
        <v>3.5000000000000003E-2</v>
      </c>
      <c r="G405" s="67">
        <v>0.04</v>
      </c>
      <c r="H405" s="68">
        <v>0.05</v>
      </c>
      <c r="I405" s="69">
        <v>0.06</v>
      </c>
      <c r="J405" s="68">
        <v>6.5000000000000002E-2</v>
      </c>
      <c r="K405" s="69"/>
      <c r="L405" s="69"/>
    </row>
    <row r="406" spans="1:12" hidden="1" outlineLevel="1" x14ac:dyDescent="0.2">
      <c r="A406" s="76"/>
      <c r="B406" s="39" t="s">
        <v>132</v>
      </c>
      <c r="C406" s="39" t="s">
        <v>139</v>
      </c>
      <c r="D406" s="39" t="s">
        <v>142</v>
      </c>
      <c r="E406" s="65" t="s">
        <v>111</v>
      </c>
      <c r="F406" s="69"/>
      <c r="G406" s="69"/>
      <c r="H406" s="69"/>
      <c r="I406" s="69">
        <v>0.01</v>
      </c>
      <c r="J406" s="69"/>
      <c r="K406" s="67">
        <v>1.4999999999999999E-2</v>
      </c>
      <c r="L406" s="66">
        <v>0.02</v>
      </c>
    </row>
    <row r="407" spans="1:12" hidden="1" outlineLevel="1" x14ac:dyDescent="0.2">
      <c r="A407" s="76"/>
      <c r="B407" s="39" t="s">
        <v>132</v>
      </c>
      <c r="C407" s="39" t="s">
        <v>139</v>
      </c>
      <c r="D407" s="39" t="s">
        <v>142</v>
      </c>
      <c r="E407" s="65" t="s">
        <v>34</v>
      </c>
      <c r="F407" s="69"/>
      <c r="G407" s="69"/>
      <c r="H407" s="68">
        <v>6.5000000000000002E-2</v>
      </c>
      <c r="I407" s="69">
        <v>7.0000000000000007E-2</v>
      </c>
      <c r="J407" s="68">
        <v>7.4999999999999997E-2</v>
      </c>
      <c r="K407" s="67">
        <v>9.5000000000000001E-2</v>
      </c>
      <c r="L407" s="66">
        <v>0.105</v>
      </c>
    </row>
    <row r="408" spans="1:12" hidden="1" outlineLevel="1" x14ac:dyDescent="0.2">
      <c r="A408" s="76"/>
      <c r="B408" s="39" t="s">
        <v>132</v>
      </c>
      <c r="C408" s="39" t="s">
        <v>139</v>
      </c>
      <c r="D408" s="39" t="s">
        <v>142</v>
      </c>
      <c r="E408" s="65" t="s">
        <v>4</v>
      </c>
      <c r="F408" s="71">
        <v>13</v>
      </c>
      <c r="G408" s="72">
        <v>14</v>
      </c>
      <c r="H408" s="73">
        <v>15</v>
      </c>
      <c r="I408" s="74">
        <v>15</v>
      </c>
      <c r="J408" s="73">
        <v>15.5</v>
      </c>
      <c r="K408" s="72">
        <v>17</v>
      </c>
      <c r="L408" s="71">
        <v>18</v>
      </c>
    </row>
    <row r="409" spans="1:12" hidden="1" outlineLevel="1" x14ac:dyDescent="0.2">
      <c r="A409" s="76"/>
      <c r="B409" s="39" t="s">
        <v>132</v>
      </c>
      <c r="C409" s="39" t="s">
        <v>139</v>
      </c>
      <c r="D409" s="39" t="s">
        <v>142</v>
      </c>
      <c r="E409" s="65" t="s">
        <v>14</v>
      </c>
      <c r="F409" s="71">
        <v>7</v>
      </c>
      <c r="G409" s="72">
        <v>7.5</v>
      </c>
      <c r="H409" s="73">
        <v>8</v>
      </c>
      <c r="I409" s="74">
        <v>8.5</v>
      </c>
      <c r="J409" s="73">
        <v>9</v>
      </c>
      <c r="K409" s="72">
        <v>9.5</v>
      </c>
      <c r="L409" s="71">
        <v>10</v>
      </c>
    </row>
    <row r="410" spans="1:12" hidden="1" outlineLevel="1" x14ac:dyDescent="0.2">
      <c r="A410" s="76"/>
      <c r="B410" s="39" t="s">
        <v>132</v>
      </c>
      <c r="C410" s="39" t="s">
        <v>139</v>
      </c>
      <c r="D410" s="39" t="s">
        <v>142</v>
      </c>
      <c r="E410" s="65" t="s">
        <v>0</v>
      </c>
      <c r="F410" s="71">
        <v>19.5</v>
      </c>
      <c r="G410" s="72">
        <v>20.5</v>
      </c>
      <c r="H410" s="73">
        <v>21.5</v>
      </c>
      <c r="I410" s="74">
        <v>22</v>
      </c>
      <c r="J410" s="73">
        <v>22.5</v>
      </c>
      <c r="K410" s="72">
        <v>23.5</v>
      </c>
      <c r="L410" s="71">
        <v>24</v>
      </c>
    </row>
    <row r="411" spans="1:12" hidden="1" outlineLevel="1" x14ac:dyDescent="0.2">
      <c r="A411" s="76"/>
    </row>
    <row r="412" spans="1:12" collapsed="1" x14ac:dyDescent="0.2">
      <c r="A412" s="76">
        <v>31</v>
      </c>
      <c r="B412" s="39" t="s">
        <v>132</v>
      </c>
      <c r="C412" s="39" t="s">
        <v>140</v>
      </c>
      <c r="D412" s="39" t="s">
        <v>142</v>
      </c>
      <c r="E412" s="154" t="s">
        <v>205</v>
      </c>
    </row>
    <row r="413" spans="1:12" hidden="1" outlineLevel="1" x14ac:dyDescent="0.2">
      <c r="B413" s="39" t="s">
        <v>132</v>
      </c>
      <c r="C413" s="39" t="s">
        <v>140</v>
      </c>
      <c r="D413" s="39" t="s">
        <v>142</v>
      </c>
      <c r="E413" s="65" t="s">
        <v>104</v>
      </c>
      <c r="F413" s="66">
        <v>0.435</v>
      </c>
      <c r="G413" s="67">
        <v>0.46500000000000002</v>
      </c>
      <c r="H413" s="68">
        <v>0.48499999999999999</v>
      </c>
      <c r="I413" s="69">
        <v>0.495</v>
      </c>
      <c r="J413" s="68">
        <v>0.51</v>
      </c>
      <c r="K413" s="67">
        <v>0.54500000000000004</v>
      </c>
      <c r="L413" s="66">
        <v>0.56000000000000005</v>
      </c>
    </row>
    <row r="414" spans="1:12" hidden="1" outlineLevel="1" x14ac:dyDescent="0.2">
      <c r="B414" s="39" t="s">
        <v>132</v>
      </c>
      <c r="C414" s="39" t="s">
        <v>140</v>
      </c>
      <c r="D414" s="39" t="s">
        <v>142</v>
      </c>
      <c r="E414" s="65" t="s">
        <v>105</v>
      </c>
      <c r="F414" s="69"/>
      <c r="G414" s="69"/>
      <c r="H414" s="68">
        <v>0.02</v>
      </c>
      <c r="I414" s="69">
        <v>0.02</v>
      </c>
      <c r="J414" s="68">
        <v>0.03</v>
      </c>
      <c r="K414" s="67">
        <v>4.4999999999999998E-2</v>
      </c>
      <c r="L414" s="66">
        <v>0.06</v>
      </c>
    </row>
    <row r="415" spans="1:12" hidden="1" outlineLevel="1" x14ac:dyDescent="0.2">
      <c r="B415" s="39" t="s">
        <v>132</v>
      </c>
      <c r="C415" s="39" t="s">
        <v>140</v>
      </c>
      <c r="D415" s="39" t="s">
        <v>142</v>
      </c>
      <c r="E415" s="70" t="s">
        <v>106</v>
      </c>
      <c r="F415" s="69"/>
      <c r="G415" s="69"/>
      <c r="H415" s="68">
        <v>9.5000000000000001E-2</v>
      </c>
      <c r="I415" s="69">
        <v>0.105</v>
      </c>
      <c r="J415" s="68">
        <v>0.125</v>
      </c>
      <c r="K415" s="67">
        <v>0.14499999999999999</v>
      </c>
      <c r="L415" s="66">
        <v>0.16</v>
      </c>
    </row>
    <row r="416" spans="1:12" hidden="1" outlineLevel="1" x14ac:dyDescent="0.2">
      <c r="B416" s="39" t="s">
        <v>132</v>
      </c>
      <c r="C416" s="39" t="s">
        <v>140</v>
      </c>
      <c r="D416" s="39" t="s">
        <v>142</v>
      </c>
      <c r="E416" s="65" t="s">
        <v>107</v>
      </c>
      <c r="F416" s="69"/>
      <c r="G416" s="69"/>
      <c r="H416" s="69"/>
      <c r="I416" s="69">
        <v>0.06</v>
      </c>
      <c r="J416" s="69"/>
      <c r="K416" s="67">
        <v>0.08</v>
      </c>
      <c r="L416" s="66">
        <v>0.1</v>
      </c>
    </row>
    <row r="417" spans="1:14" hidden="1" outlineLevel="1" x14ac:dyDescent="0.2">
      <c r="B417" s="39" t="s">
        <v>132</v>
      </c>
      <c r="C417" s="39" t="s">
        <v>140</v>
      </c>
      <c r="D417" s="39" t="s">
        <v>142</v>
      </c>
      <c r="E417" s="65" t="s">
        <v>108</v>
      </c>
      <c r="F417" s="69"/>
      <c r="G417" s="69"/>
      <c r="H417" s="69"/>
      <c r="I417" s="69">
        <v>0.02</v>
      </c>
      <c r="J417" s="69"/>
      <c r="K417" s="67">
        <v>0.04</v>
      </c>
      <c r="L417" s="66">
        <v>7.0000000000000007E-2</v>
      </c>
    </row>
    <row r="418" spans="1:14" hidden="1" outlineLevel="1" x14ac:dyDescent="0.2">
      <c r="B418" s="39" t="s">
        <v>132</v>
      </c>
      <c r="C418" s="39" t="s">
        <v>140</v>
      </c>
      <c r="D418" s="39" t="s">
        <v>142</v>
      </c>
      <c r="E418" s="65" t="s">
        <v>109</v>
      </c>
      <c r="F418" s="69"/>
      <c r="G418" s="69"/>
      <c r="H418" s="69"/>
      <c r="I418" s="69">
        <v>0.06</v>
      </c>
      <c r="J418" s="69"/>
      <c r="K418" s="67">
        <v>8.5000000000000006E-2</v>
      </c>
      <c r="L418" s="66">
        <v>0.125</v>
      </c>
    </row>
    <row r="419" spans="1:14" hidden="1" outlineLevel="1" x14ac:dyDescent="0.2">
      <c r="B419" s="39" t="s">
        <v>132</v>
      </c>
      <c r="C419" s="39" t="s">
        <v>140</v>
      </c>
      <c r="D419" s="39" t="s">
        <v>142</v>
      </c>
      <c r="E419" s="65" t="s">
        <v>110</v>
      </c>
      <c r="F419" s="66">
        <v>0.04</v>
      </c>
      <c r="G419" s="67">
        <v>0.05</v>
      </c>
      <c r="H419" s="68">
        <v>5.5E-2</v>
      </c>
      <c r="I419" s="69">
        <v>0.06</v>
      </c>
      <c r="J419" s="68">
        <v>0.06</v>
      </c>
      <c r="K419" s="69"/>
      <c r="L419" s="69"/>
    </row>
    <row r="420" spans="1:14" hidden="1" outlineLevel="1" x14ac:dyDescent="0.2">
      <c r="B420" s="39" t="s">
        <v>132</v>
      </c>
      <c r="C420" s="39" t="s">
        <v>140</v>
      </c>
      <c r="D420" s="39" t="s">
        <v>142</v>
      </c>
      <c r="E420" s="70" t="s">
        <v>111</v>
      </c>
      <c r="F420" s="69"/>
      <c r="G420" s="69"/>
      <c r="H420" s="69"/>
      <c r="I420" s="69">
        <v>0.01</v>
      </c>
      <c r="J420" s="69"/>
      <c r="K420" s="67">
        <v>1.4999999999999999E-2</v>
      </c>
      <c r="L420" s="66">
        <v>0.02</v>
      </c>
    </row>
    <row r="421" spans="1:14" hidden="1" outlineLevel="1" x14ac:dyDescent="0.2">
      <c r="B421" s="39" t="s">
        <v>132</v>
      </c>
      <c r="C421" s="39" t="s">
        <v>140</v>
      </c>
      <c r="D421" s="39" t="s">
        <v>142</v>
      </c>
      <c r="E421" s="65" t="s">
        <v>34</v>
      </c>
      <c r="F421" s="69"/>
      <c r="G421" s="69"/>
      <c r="H421" s="68">
        <v>5.5E-2</v>
      </c>
      <c r="I421" s="69">
        <v>0.06</v>
      </c>
      <c r="J421" s="68">
        <v>7.0000000000000007E-2</v>
      </c>
      <c r="K421" s="67">
        <v>0.08</v>
      </c>
      <c r="L421" s="66">
        <v>0.1</v>
      </c>
    </row>
    <row r="422" spans="1:14" hidden="1" outlineLevel="1" x14ac:dyDescent="0.2">
      <c r="B422" s="39" t="s">
        <v>132</v>
      </c>
      <c r="C422" s="39" t="s">
        <v>140</v>
      </c>
      <c r="D422" s="39" t="s">
        <v>142</v>
      </c>
      <c r="E422" s="65" t="s">
        <v>4</v>
      </c>
      <c r="F422" s="71">
        <v>13.5</v>
      </c>
      <c r="G422" s="72">
        <v>14.5</v>
      </c>
      <c r="H422" s="73">
        <v>15.5</v>
      </c>
      <c r="I422" s="74">
        <v>15.5</v>
      </c>
      <c r="J422" s="73">
        <v>16</v>
      </c>
      <c r="K422" s="72">
        <v>17.5</v>
      </c>
      <c r="L422" s="71">
        <v>19.5</v>
      </c>
    </row>
    <row r="423" spans="1:14" hidden="1" outlineLevel="1" x14ac:dyDescent="0.2">
      <c r="B423" s="39" t="s">
        <v>132</v>
      </c>
      <c r="C423" s="39" t="s">
        <v>140</v>
      </c>
      <c r="D423" s="39" t="s">
        <v>142</v>
      </c>
      <c r="E423" s="70" t="s">
        <v>14</v>
      </c>
      <c r="F423" s="71">
        <v>7</v>
      </c>
      <c r="G423" s="72">
        <v>7.5</v>
      </c>
      <c r="H423" s="73">
        <v>8.5</v>
      </c>
      <c r="I423" s="74">
        <v>9</v>
      </c>
      <c r="J423" s="73">
        <v>9</v>
      </c>
      <c r="K423" s="72">
        <v>10</v>
      </c>
      <c r="L423" s="71">
        <v>11</v>
      </c>
    </row>
    <row r="424" spans="1:14" hidden="1" outlineLevel="1" x14ac:dyDescent="0.2">
      <c r="B424" s="39" t="s">
        <v>132</v>
      </c>
      <c r="C424" s="39" t="s">
        <v>140</v>
      </c>
      <c r="D424" s="39" t="s">
        <v>142</v>
      </c>
      <c r="E424" s="65" t="s">
        <v>0</v>
      </c>
      <c r="F424" s="71">
        <v>20</v>
      </c>
      <c r="G424" s="72">
        <v>21.5</v>
      </c>
      <c r="H424" s="73">
        <v>22</v>
      </c>
      <c r="I424" s="74">
        <v>23</v>
      </c>
      <c r="J424" s="73">
        <v>23</v>
      </c>
      <c r="K424" s="72">
        <v>24</v>
      </c>
      <c r="L424" s="71">
        <v>25</v>
      </c>
    </row>
    <row r="425" spans="1:14" hidden="1" outlineLevel="1" x14ac:dyDescent="0.2"/>
    <row r="426" spans="1:14" collapsed="1" x14ac:dyDescent="0.2"/>
    <row r="427" spans="1:14" s="63" customFormat="1" ht="60" x14ac:dyDescent="0.25">
      <c r="A427" s="62" t="s">
        <v>146</v>
      </c>
      <c r="B427" s="62" t="s">
        <v>16</v>
      </c>
      <c r="C427" s="62" t="s">
        <v>147</v>
      </c>
      <c r="D427" s="355" t="s">
        <v>148</v>
      </c>
      <c r="E427" s="355"/>
      <c r="F427" s="64" t="s">
        <v>149</v>
      </c>
      <c r="G427" s="64" t="s">
        <v>150</v>
      </c>
      <c r="H427" s="64" t="s">
        <v>151</v>
      </c>
      <c r="I427" s="64" t="s">
        <v>156</v>
      </c>
      <c r="J427" s="64" t="s">
        <v>155</v>
      </c>
      <c r="K427" s="64" t="s">
        <v>152</v>
      </c>
      <c r="L427" s="64" t="s">
        <v>153</v>
      </c>
      <c r="N427" s="63" t="s">
        <v>154</v>
      </c>
    </row>
    <row r="428" spans="1:14" x14ac:dyDescent="0.2">
      <c r="A428" s="59">
        <v>127</v>
      </c>
      <c r="B428" s="39" t="s">
        <v>133</v>
      </c>
      <c r="C428" s="39" t="s">
        <v>143</v>
      </c>
      <c r="E428" s="154" t="s">
        <v>206</v>
      </c>
    </row>
    <row r="429" spans="1:14" hidden="1" outlineLevel="1" x14ac:dyDescent="0.2">
      <c r="B429" s="39" t="s">
        <v>133</v>
      </c>
      <c r="C429" s="39" t="s">
        <v>143</v>
      </c>
      <c r="E429" s="65" t="s">
        <v>104</v>
      </c>
      <c r="F429" s="66">
        <v>0.27</v>
      </c>
      <c r="G429" s="67">
        <v>0.3</v>
      </c>
      <c r="H429" s="68">
        <v>0.34499999999999997</v>
      </c>
      <c r="I429" s="69">
        <v>0.36</v>
      </c>
      <c r="J429" s="68">
        <v>0.38</v>
      </c>
      <c r="K429" s="67">
        <v>0.43</v>
      </c>
      <c r="L429" s="66">
        <v>0.47</v>
      </c>
    </row>
    <row r="430" spans="1:14" hidden="1" outlineLevel="1" x14ac:dyDescent="0.2">
      <c r="B430" s="39" t="s">
        <v>133</v>
      </c>
      <c r="C430" s="39" t="s">
        <v>143</v>
      </c>
      <c r="E430" s="65" t="s">
        <v>105</v>
      </c>
      <c r="F430" s="69"/>
      <c r="G430" s="69"/>
      <c r="H430" s="68">
        <v>1.4999999999999999E-2</v>
      </c>
      <c r="I430" s="69">
        <v>0.02</v>
      </c>
      <c r="J430" s="68">
        <v>2.5000000000000001E-2</v>
      </c>
      <c r="K430" s="67">
        <v>4.4999999999999998E-2</v>
      </c>
      <c r="L430" s="66">
        <v>7.0000000000000007E-2</v>
      </c>
    </row>
    <row r="431" spans="1:14" hidden="1" outlineLevel="1" x14ac:dyDescent="0.2">
      <c r="B431" s="39" t="s">
        <v>133</v>
      </c>
      <c r="C431" s="39" t="s">
        <v>143</v>
      </c>
      <c r="E431" s="65" t="s">
        <v>106</v>
      </c>
      <c r="F431" s="69"/>
      <c r="G431" s="69"/>
      <c r="H431" s="68">
        <v>0.28999999999999998</v>
      </c>
      <c r="I431" s="69">
        <v>0.32</v>
      </c>
      <c r="J431" s="68">
        <v>0.34</v>
      </c>
      <c r="K431" s="67">
        <v>0.39</v>
      </c>
      <c r="L431" s="66">
        <v>0.41499999999999998</v>
      </c>
    </row>
    <row r="432" spans="1:14" hidden="1" outlineLevel="1" x14ac:dyDescent="0.2">
      <c r="B432" s="39" t="s">
        <v>133</v>
      </c>
      <c r="C432" s="39" t="s">
        <v>143</v>
      </c>
      <c r="E432" s="65" t="s">
        <v>107</v>
      </c>
      <c r="F432" s="69"/>
      <c r="G432" s="69"/>
      <c r="H432" s="69"/>
      <c r="I432" s="69">
        <v>4.4999999999999998E-2</v>
      </c>
      <c r="J432" s="69"/>
      <c r="K432" s="67">
        <v>6.5000000000000002E-2</v>
      </c>
      <c r="L432" s="66">
        <v>0.08</v>
      </c>
    </row>
    <row r="433" spans="1:12" hidden="1" outlineLevel="1" x14ac:dyDescent="0.2">
      <c r="B433" s="39" t="s">
        <v>133</v>
      </c>
      <c r="C433" s="39" t="s">
        <v>143</v>
      </c>
      <c r="E433" s="65" t="s">
        <v>108</v>
      </c>
      <c r="F433" s="69"/>
      <c r="G433" s="69"/>
      <c r="H433" s="69"/>
      <c r="I433" s="69">
        <v>0.03</v>
      </c>
      <c r="J433" s="69"/>
      <c r="K433" s="67">
        <v>0.05</v>
      </c>
      <c r="L433" s="66">
        <v>7.0000000000000007E-2</v>
      </c>
    </row>
    <row r="434" spans="1:12" hidden="1" outlineLevel="1" x14ac:dyDescent="0.2">
      <c r="B434" s="39" t="s">
        <v>133</v>
      </c>
      <c r="C434" s="39" t="s">
        <v>143</v>
      </c>
      <c r="E434" s="65" t="s">
        <v>109</v>
      </c>
      <c r="F434" s="69"/>
      <c r="G434" s="69"/>
      <c r="H434" s="69"/>
      <c r="I434" s="69">
        <v>0.05</v>
      </c>
      <c r="J434" s="69"/>
      <c r="K434" s="67">
        <v>6.5000000000000002E-2</v>
      </c>
      <c r="L434" s="66">
        <v>0.08</v>
      </c>
    </row>
    <row r="435" spans="1:12" hidden="1" outlineLevel="1" x14ac:dyDescent="0.2">
      <c r="B435" s="39" t="s">
        <v>133</v>
      </c>
      <c r="C435" s="39" t="s">
        <v>143</v>
      </c>
      <c r="E435" s="65" t="s">
        <v>110</v>
      </c>
      <c r="F435" s="66">
        <v>0.02</v>
      </c>
      <c r="G435" s="67">
        <v>2.5000000000000001E-2</v>
      </c>
      <c r="H435" s="68">
        <v>3.5000000000000003E-2</v>
      </c>
      <c r="I435" s="69">
        <v>3.5000000000000003E-2</v>
      </c>
      <c r="J435" s="68">
        <v>0.04</v>
      </c>
      <c r="K435" s="69"/>
      <c r="L435" s="69"/>
    </row>
    <row r="436" spans="1:12" hidden="1" outlineLevel="1" x14ac:dyDescent="0.2">
      <c r="B436" s="39" t="s">
        <v>133</v>
      </c>
      <c r="C436" s="39" t="s">
        <v>143</v>
      </c>
      <c r="E436" s="65" t="s">
        <v>111</v>
      </c>
      <c r="F436" s="69"/>
      <c r="G436" s="69"/>
      <c r="H436" s="69"/>
      <c r="I436" s="69">
        <v>0.01</v>
      </c>
      <c r="J436" s="69"/>
      <c r="K436" s="67">
        <v>1.4999999999999999E-2</v>
      </c>
      <c r="L436" s="66">
        <v>0.02</v>
      </c>
    </row>
    <row r="437" spans="1:12" hidden="1" outlineLevel="1" x14ac:dyDescent="0.2">
      <c r="B437" s="39" t="s">
        <v>133</v>
      </c>
      <c r="C437" s="39" t="s">
        <v>143</v>
      </c>
      <c r="E437" s="65" t="s">
        <v>34</v>
      </c>
      <c r="F437" s="69"/>
      <c r="G437" s="69"/>
      <c r="H437" s="68">
        <v>0.05</v>
      </c>
      <c r="I437" s="69">
        <v>5.5E-2</v>
      </c>
      <c r="J437" s="68">
        <v>6.5000000000000002E-2</v>
      </c>
      <c r="K437" s="67">
        <v>8.5000000000000006E-2</v>
      </c>
      <c r="L437" s="66">
        <v>0.105</v>
      </c>
    </row>
    <row r="438" spans="1:12" hidden="1" outlineLevel="1" x14ac:dyDescent="0.2">
      <c r="B438" s="39" t="s">
        <v>133</v>
      </c>
      <c r="C438" s="39" t="s">
        <v>143</v>
      </c>
      <c r="E438" s="65" t="s">
        <v>4</v>
      </c>
      <c r="F438" s="71">
        <v>4</v>
      </c>
      <c r="G438" s="72">
        <v>5</v>
      </c>
      <c r="H438" s="73">
        <v>6</v>
      </c>
      <c r="I438" s="74">
        <v>6.5</v>
      </c>
      <c r="J438" s="73">
        <v>7</v>
      </c>
      <c r="K438" s="72">
        <v>7.5</v>
      </c>
      <c r="L438" s="71">
        <v>8.5</v>
      </c>
    </row>
    <row r="439" spans="1:12" hidden="1" outlineLevel="1" x14ac:dyDescent="0.2">
      <c r="B439" s="39" t="s">
        <v>133</v>
      </c>
      <c r="C439" s="39" t="s">
        <v>143</v>
      </c>
      <c r="E439" s="70" t="s">
        <v>14</v>
      </c>
      <c r="F439" s="71">
        <v>1.3</v>
      </c>
      <c r="G439" s="72">
        <v>1.5</v>
      </c>
      <c r="H439" s="73">
        <v>1.7</v>
      </c>
      <c r="I439" s="74">
        <v>2</v>
      </c>
      <c r="J439" s="73">
        <v>2</v>
      </c>
      <c r="K439" s="72">
        <v>2.5</v>
      </c>
      <c r="L439" s="71">
        <v>2.7</v>
      </c>
    </row>
    <row r="440" spans="1:12" hidden="1" outlineLevel="1" x14ac:dyDescent="0.2">
      <c r="B440" s="39" t="s">
        <v>133</v>
      </c>
      <c r="C440" s="39" t="s">
        <v>143</v>
      </c>
      <c r="E440" s="65" t="s">
        <v>33</v>
      </c>
      <c r="F440" s="78">
        <v>52000</v>
      </c>
      <c r="G440" s="79">
        <v>57000</v>
      </c>
      <c r="H440" s="80">
        <v>62500</v>
      </c>
      <c r="I440" s="81">
        <v>65000</v>
      </c>
      <c r="J440" s="80">
        <v>67500</v>
      </c>
      <c r="K440" s="79">
        <v>73000</v>
      </c>
      <c r="L440" s="78">
        <v>78500</v>
      </c>
    </row>
    <row r="441" spans="1:12" hidden="1" outlineLevel="1" x14ac:dyDescent="0.2"/>
    <row r="442" spans="1:12" collapsed="1" x14ac:dyDescent="0.2">
      <c r="A442" s="59">
        <v>774</v>
      </c>
      <c r="B442" s="39" t="s">
        <v>133</v>
      </c>
      <c r="C442" s="39" t="s">
        <v>144</v>
      </c>
      <c r="E442" s="154" t="s">
        <v>208</v>
      </c>
    </row>
    <row r="443" spans="1:12" hidden="1" outlineLevel="1" x14ac:dyDescent="0.2">
      <c r="B443" s="39" t="s">
        <v>133</v>
      </c>
      <c r="C443" s="39" t="s">
        <v>144</v>
      </c>
      <c r="E443" s="65" t="s">
        <v>104</v>
      </c>
      <c r="F443" s="66">
        <v>0.27</v>
      </c>
      <c r="G443" s="67">
        <v>0.3</v>
      </c>
      <c r="H443" s="68">
        <v>0.34499999999999997</v>
      </c>
      <c r="I443" s="69">
        <v>0.36</v>
      </c>
      <c r="J443" s="68">
        <v>0.38</v>
      </c>
      <c r="K443" s="67">
        <v>0.43</v>
      </c>
      <c r="L443" s="66">
        <v>0.47</v>
      </c>
    </row>
    <row r="444" spans="1:12" hidden="1" outlineLevel="1" x14ac:dyDescent="0.2">
      <c r="B444" s="39" t="s">
        <v>133</v>
      </c>
      <c r="C444" s="39" t="s">
        <v>144</v>
      </c>
      <c r="E444" s="65" t="s">
        <v>105</v>
      </c>
      <c r="F444" s="69"/>
      <c r="G444" s="69"/>
      <c r="H444" s="68">
        <v>1.4999999999999999E-2</v>
      </c>
      <c r="I444" s="69">
        <v>0.02</v>
      </c>
      <c r="J444" s="68">
        <v>2.5000000000000001E-2</v>
      </c>
      <c r="K444" s="67">
        <v>4.4999999999999998E-2</v>
      </c>
      <c r="L444" s="66">
        <v>7.0000000000000007E-2</v>
      </c>
    </row>
    <row r="445" spans="1:12" hidden="1" outlineLevel="1" x14ac:dyDescent="0.2">
      <c r="B445" s="39" t="s">
        <v>133</v>
      </c>
      <c r="C445" s="39" t="s">
        <v>144</v>
      </c>
      <c r="E445" s="65" t="s">
        <v>106</v>
      </c>
      <c r="F445" s="69"/>
      <c r="G445" s="69"/>
      <c r="H445" s="68">
        <v>0.28999999999999998</v>
      </c>
      <c r="I445" s="69">
        <v>0.32</v>
      </c>
      <c r="J445" s="68">
        <v>0.34</v>
      </c>
      <c r="K445" s="67">
        <v>0.39</v>
      </c>
      <c r="L445" s="66">
        <v>0.41499999999999998</v>
      </c>
    </row>
    <row r="446" spans="1:12" hidden="1" outlineLevel="1" x14ac:dyDescent="0.2">
      <c r="B446" s="39" t="s">
        <v>133</v>
      </c>
      <c r="C446" s="39" t="s">
        <v>144</v>
      </c>
      <c r="E446" s="65" t="s">
        <v>107</v>
      </c>
      <c r="F446" s="69"/>
      <c r="G446" s="69"/>
      <c r="H446" s="69"/>
      <c r="I446" s="69">
        <v>4.4999999999999998E-2</v>
      </c>
      <c r="J446" s="69"/>
      <c r="K446" s="67">
        <v>6.5000000000000002E-2</v>
      </c>
      <c r="L446" s="66">
        <v>0.08</v>
      </c>
    </row>
    <row r="447" spans="1:12" hidden="1" outlineLevel="1" x14ac:dyDescent="0.2">
      <c r="B447" s="39" t="s">
        <v>133</v>
      </c>
      <c r="C447" s="39" t="s">
        <v>144</v>
      </c>
      <c r="E447" s="65" t="s">
        <v>108</v>
      </c>
      <c r="F447" s="69"/>
      <c r="G447" s="69"/>
      <c r="H447" s="69"/>
      <c r="I447" s="69">
        <v>0.03</v>
      </c>
      <c r="J447" s="69"/>
      <c r="K447" s="67">
        <v>0.05</v>
      </c>
      <c r="L447" s="66">
        <v>7.0000000000000007E-2</v>
      </c>
    </row>
    <row r="448" spans="1:12" hidden="1" outlineLevel="1" x14ac:dyDescent="0.2">
      <c r="B448" s="39" t="s">
        <v>133</v>
      </c>
      <c r="C448" s="39" t="s">
        <v>144</v>
      </c>
      <c r="E448" s="65" t="s">
        <v>109</v>
      </c>
      <c r="F448" s="69"/>
      <c r="G448" s="69"/>
      <c r="H448" s="69"/>
      <c r="I448" s="69">
        <v>0.05</v>
      </c>
      <c r="J448" s="69"/>
      <c r="K448" s="67">
        <v>6.5000000000000002E-2</v>
      </c>
      <c r="L448" s="66">
        <v>0.08</v>
      </c>
    </row>
    <row r="449" spans="1:12" hidden="1" outlineLevel="1" x14ac:dyDescent="0.2">
      <c r="B449" s="39" t="s">
        <v>133</v>
      </c>
      <c r="C449" s="39" t="s">
        <v>144</v>
      </c>
      <c r="E449" s="65" t="s">
        <v>110</v>
      </c>
      <c r="F449" s="66">
        <v>0.02</v>
      </c>
      <c r="G449" s="67">
        <v>2.5000000000000001E-2</v>
      </c>
      <c r="H449" s="68">
        <v>3.5000000000000003E-2</v>
      </c>
      <c r="I449" s="69">
        <v>3.5000000000000003E-2</v>
      </c>
      <c r="J449" s="68">
        <v>0.04</v>
      </c>
      <c r="K449" s="69"/>
      <c r="L449" s="69"/>
    </row>
    <row r="450" spans="1:12" hidden="1" outlineLevel="1" x14ac:dyDescent="0.2">
      <c r="B450" s="39" t="s">
        <v>133</v>
      </c>
      <c r="C450" s="39" t="s">
        <v>144</v>
      </c>
      <c r="E450" s="65" t="s">
        <v>111</v>
      </c>
      <c r="F450" s="69"/>
      <c r="G450" s="69"/>
      <c r="H450" s="69"/>
      <c r="I450" s="69">
        <v>0.01</v>
      </c>
      <c r="J450" s="69"/>
      <c r="K450" s="67">
        <v>1.4999999999999999E-2</v>
      </c>
      <c r="L450" s="66">
        <v>0.02</v>
      </c>
    </row>
    <row r="451" spans="1:12" hidden="1" outlineLevel="1" x14ac:dyDescent="0.2">
      <c r="B451" s="39" t="s">
        <v>133</v>
      </c>
      <c r="C451" s="39" t="s">
        <v>144</v>
      </c>
      <c r="E451" s="65" t="s">
        <v>34</v>
      </c>
      <c r="F451" s="69"/>
      <c r="G451" s="69"/>
      <c r="H451" s="68">
        <v>0.05</v>
      </c>
      <c r="I451" s="69">
        <v>5.5E-2</v>
      </c>
      <c r="J451" s="68">
        <v>6.5000000000000002E-2</v>
      </c>
      <c r="K451" s="67">
        <v>8.5000000000000006E-2</v>
      </c>
      <c r="L451" s="66">
        <v>0.105</v>
      </c>
    </row>
    <row r="452" spans="1:12" hidden="1" outlineLevel="1" x14ac:dyDescent="0.2">
      <c r="B452" s="39" t="s">
        <v>133</v>
      </c>
      <c r="C452" s="39" t="s">
        <v>144</v>
      </c>
      <c r="E452" s="65" t="s">
        <v>4</v>
      </c>
      <c r="F452" s="71">
        <v>4</v>
      </c>
      <c r="G452" s="72">
        <v>5</v>
      </c>
      <c r="H452" s="73">
        <v>6</v>
      </c>
      <c r="I452" s="74">
        <v>6.5</v>
      </c>
      <c r="J452" s="73">
        <v>7</v>
      </c>
      <c r="K452" s="72">
        <v>7.5</v>
      </c>
      <c r="L452" s="71">
        <v>8.5</v>
      </c>
    </row>
    <row r="453" spans="1:12" hidden="1" outlineLevel="1" x14ac:dyDescent="0.2">
      <c r="B453" s="39" t="s">
        <v>133</v>
      </c>
      <c r="C453" s="39" t="s">
        <v>144</v>
      </c>
      <c r="E453" s="70" t="s">
        <v>14</v>
      </c>
      <c r="F453" s="71">
        <v>1.3</v>
      </c>
      <c r="G453" s="72">
        <v>1.5</v>
      </c>
      <c r="H453" s="73">
        <v>1.7</v>
      </c>
      <c r="I453" s="74">
        <v>2</v>
      </c>
      <c r="J453" s="73">
        <v>2</v>
      </c>
      <c r="K453" s="72">
        <v>2.5</v>
      </c>
      <c r="L453" s="71">
        <v>2.7</v>
      </c>
    </row>
    <row r="454" spans="1:12" hidden="1" outlineLevel="1" x14ac:dyDescent="0.2">
      <c r="B454" s="39" t="s">
        <v>133</v>
      </c>
      <c r="C454" s="39" t="s">
        <v>144</v>
      </c>
      <c r="E454" s="65" t="s">
        <v>33</v>
      </c>
      <c r="F454" s="78">
        <v>49500</v>
      </c>
      <c r="G454" s="79">
        <v>53000</v>
      </c>
      <c r="H454" s="80">
        <v>56000</v>
      </c>
      <c r="I454" s="81">
        <v>58000</v>
      </c>
      <c r="J454" s="80">
        <v>59500</v>
      </c>
      <c r="K454" s="79">
        <v>63500</v>
      </c>
      <c r="L454" s="78">
        <v>67000</v>
      </c>
    </row>
    <row r="455" spans="1:12" hidden="1" outlineLevel="1" x14ac:dyDescent="0.2"/>
    <row r="456" spans="1:12" collapsed="1" x14ac:dyDescent="0.2">
      <c r="A456" s="59">
        <v>48</v>
      </c>
      <c r="B456" s="39" t="s">
        <v>134</v>
      </c>
      <c r="C456" s="39" t="s">
        <v>143</v>
      </c>
      <c r="E456" s="154" t="s">
        <v>207</v>
      </c>
    </row>
    <row r="457" spans="1:12" hidden="1" outlineLevel="1" x14ac:dyDescent="0.2">
      <c r="B457" s="39" t="s">
        <v>134</v>
      </c>
      <c r="C457" s="39" t="s">
        <v>143</v>
      </c>
      <c r="E457" s="65" t="s">
        <v>104</v>
      </c>
      <c r="F457" s="66">
        <v>0.28499999999999998</v>
      </c>
      <c r="G457" s="67">
        <v>0.34</v>
      </c>
      <c r="H457" s="68">
        <v>0.40500000000000003</v>
      </c>
      <c r="I457" s="69">
        <v>0.44</v>
      </c>
      <c r="J457" s="68">
        <v>0.47</v>
      </c>
      <c r="K457" s="67">
        <v>0.54500000000000004</v>
      </c>
      <c r="L457" s="66">
        <v>0.60499999999999998</v>
      </c>
    </row>
    <row r="458" spans="1:12" hidden="1" outlineLevel="1" x14ac:dyDescent="0.2">
      <c r="B458" s="39" t="s">
        <v>134</v>
      </c>
      <c r="C458" s="39" t="s">
        <v>143</v>
      </c>
      <c r="E458" s="65" t="s">
        <v>105</v>
      </c>
      <c r="F458" s="69"/>
      <c r="G458" s="69"/>
      <c r="H458" s="68">
        <v>2.5000000000000001E-2</v>
      </c>
      <c r="I458" s="69">
        <v>0.04</v>
      </c>
      <c r="J458" s="68">
        <v>5.5E-2</v>
      </c>
      <c r="K458" s="67">
        <v>9.5000000000000001E-2</v>
      </c>
      <c r="L458" s="66">
        <v>0.13</v>
      </c>
    </row>
    <row r="459" spans="1:12" hidden="1" outlineLevel="1" x14ac:dyDescent="0.2">
      <c r="B459" s="39" t="s">
        <v>134</v>
      </c>
      <c r="C459" s="39" t="s">
        <v>143</v>
      </c>
      <c r="E459" s="65" t="s">
        <v>106</v>
      </c>
      <c r="F459" s="69"/>
      <c r="G459" s="69"/>
      <c r="H459" s="68">
        <v>0.15</v>
      </c>
      <c r="I459" s="69">
        <v>0.17</v>
      </c>
      <c r="J459" s="68">
        <v>0.19500000000000001</v>
      </c>
      <c r="K459" s="67">
        <v>0.23499999999999999</v>
      </c>
      <c r="L459" s="66">
        <v>0.28000000000000003</v>
      </c>
    </row>
    <row r="460" spans="1:12" hidden="1" outlineLevel="1" x14ac:dyDescent="0.2">
      <c r="B460" s="39" t="s">
        <v>134</v>
      </c>
      <c r="C460" s="39" t="s">
        <v>143</v>
      </c>
      <c r="E460" s="65" t="s">
        <v>107</v>
      </c>
      <c r="F460" s="69"/>
      <c r="G460" s="69"/>
      <c r="H460" s="69"/>
      <c r="I460" s="69">
        <v>0.06</v>
      </c>
      <c r="J460" s="69"/>
      <c r="K460" s="67">
        <v>0.09</v>
      </c>
      <c r="L460" s="66">
        <v>0.105</v>
      </c>
    </row>
    <row r="461" spans="1:12" hidden="1" outlineLevel="1" x14ac:dyDescent="0.2">
      <c r="B461" s="39" t="s">
        <v>134</v>
      </c>
      <c r="C461" s="39" t="s">
        <v>143</v>
      </c>
      <c r="E461" s="65" t="s">
        <v>108</v>
      </c>
      <c r="F461" s="69"/>
      <c r="G461" s="69"/>
      <c r="H461" s="69"/>
      <c r="I461" s="69">
        <v>0.02</v>
      </c>
      <c r="J461" s="69"/>
      <c r="K461" s="67">
        <v>3.5000000000000003E-2</v>
      </c>
      <c r="L461" s="66">
        <v>0.06</v>
      </c>
    </row>
    <row r="462" spans="1:12" hidden="1" outlineLevel="1" x14ac:dyDescent="0.2">
      <c r="B462" s="39" t="s">
        <v>134</v>
      </c>
      <c r="C462" s="39" t="s">
        <v>143</v>
      </c>
      <c r="E462" s="65" t="s">
        <v>109</v>
      </c>
      <c r="F462" s="69"/>
      <c r="G462" s="69"/>
      <c r="H462" s="69"/>
      <c r="I462" s="69">
        <v>0.04</v>
      </c>
      <c r="J462" s="69"/>
      <c r="K462" s="67">
        <v>5.5E-2</v>
      </c>
      <c r="L462" s="66">
        <v>6.5000000000000002E-2</v>
      </c>
    </row>
    <row r="463" spans="1:12" hidden="1" outlineLevel="1" x14ac:dyDescent="0.2">
      <c r="B463" s="39" t="s">
        <v>134</v>
      </c>
      <c r="C463" s="39" t="s">
        <v>143</v>
      </c>
      <c r="E463" s="65" t="s">
        <v>110</v>
      </c>
      <c r="F463" s="66">
        <v>0.02</v>
      </c>
      <c r="G463" s="67">
        <v>2.5000000000000001E-2</v>
      </c>
      <c r="H463" s="68">
        <v>3.5000000000000003E-2</v>
      </c>
      <c r="I463" s="69">
        <v>4.4999999999999998E-2</v>
      </c>
      <c r="J463" s="68">
        <v>5.5E-2</v>
      </c>
      <c r="K463" s="69"/>
      <c r="L463" s="69"/>
    </row>
    <row r="464" spans="1:12" hidden="1" outlineLevel="1" x14ac:dyDescent="0.2">
      <c r="B464" s="39" t="s">
        <v>134</v>
      </c>
      <c r="C464" s="39" t="s">
        <v>143</v>
      </c>
      <c r="E464" s="65" t="s">
        <v>111</v>
      </c>
      <c r="F464" s="69"/>
      <c r="G464" s="69"/>
      <c r="H464" s="69"/>
      <c r="I464" s="69">
        <v>0.01</v>
      </c>
      <c r="J464" s="69"/>
      <c r="K464" s="67">
        <v>1.4999999999999999E-2</v>
      </c>
      <c r="L464" s="66">
        <v>0.02</v>
      </c>
    </row>
    <row r="465" spans="1:12" hidden="1" outlineLevel="1" x14ac:dyDescent="0.2">
      <c r="B465" s="39" t="s">
        <v>134</v>
      </c>
      <c r="C465" s="39" t="s">
        <v>143</v>
      </c>
      <c r="E465" s="65" t="s">
        <v>34</v>
      </c>
      <c r="F465" s="69"/>
      <c r="G465" s="69"/>
      <c r="H465" s="68">
        <v>0.09</v>
      </c>
      <c r="I465" s="69">
        <v>0.1</v>
      </c>
      <c r="J465" s="68">
        <v>0.115</v>
      </c>
      <c r="K465" s="67">
        <v>0.155</v>
      </c>
      <c r="L465" s="66">
        <v>0.19</v>
      </c>
    </row>
    <row r="466" spans="1:12" hidden="1" outlineLevel="1" x14ac:dyDescent="0.2">
      <c r="B466" s="39" t="s">
        <v>134</v>
      </c>
      <c r="C466" s="39" t="s">
        <v>143</v>
      </c>
      <c r="E466" s="65" t="s">
        <v>4</v>
      </c>
      <c r="F466" s="71">
        <v>3</v>
      </c>
      <c r="G466" s="72">
        <v>3.5</v>
      </c>
      <c r="H466" s="73">
        <v>4.5</v>
      </c>
      <c r="I466" s="74">
        <v>5</v>
      </c>
      <c r="J466" s="73">
        <v>6</v>
      </c>
      <c r="K466" s="72">
        <v>8</v>
      </c>
      <c r="L466" s="71">
        <v>10</v>
      </c>
    </row>
    <row r="467" spans="1:12" hidden="1" outlineLevel="1" x14ac:dyDescent="0.2">
      <c r="B467" s="39" t="s">
        <v>134</v>
      </c>
      <c r="C467" s="39" t="s">
        <v>143</v>
      </c>
      <c r="E467" s="70" t="s">
        <v>14</v>
      </c>
      <c r="F467" s="71">
        <v>1.3</v>
      </c>
      <c r="G467" s="72">
        <v>1.5</v>
      </c>
      <c r="H467" s="73">
        <v>2</v>
      </c>
      <c r="I467" s="74">
        <v>2.5</v>
      </c>
      <c r="J467" s="73">
        <v>2.5</v>
      </c>
      <c r="K467" s="72">
        <v>3.5</v>
      </c>
      <c r="L467" s="71">
        <v>4</v>
      </c>
    </row>
    <row r="468" spans="1:12" hidden="1" outlineLevel="1" x14ac:dyDescent="0.2">
      <c r="B468" s="39" t="s">
        <v>134</v>
      </c>
      <c r="C468" s="39" t="s">
        <v>143</v>
      </c>
      <c r="E468" s="65" t="s">
        <v>33</v>
      </c>
      <c r="F468" s="78">
        <v>43500</v>
      </c>
      <c r="G468" s="79">
        <v>52500</v>
      </c>
      <c r="H468" s="80">
        <v>61000</v>
      </c>
      <c r="I468" s="81">
        <v>65500</v>
      </c>
      <c r="J468" s="80">
        <v>67000</v>
      </c>
      <c r="K468" s="79">
        <v>79000</v>
      </c>
      <c r="L468" s="78">
        <v>87000</v>
      </c>
    </row>
    <row r="469" spans="1:12" hidden="1" outlineLevel="1" x14ac:dyDescent="0.2"/>
    <row r="470" spans="1:12" collapsed="1" x14ac:dyDescent="0.2">
      <c r="A470" s="59">
        <v>269</v>
      </c>
      <c r="B470" s="39" t="s">
        <v>134</v>
      </c>
      <c r="C470" s="39" t="s">
        <v>144</v>
      </c>
      <c r="E470" s="154" t="s">
        <v>209</v>
      </c>
    </row>
    <row r="471" spans="1:12" hidden="1" outlineLevel="1" x14ac:dyDescent="0.2">
      <c r="B471" s="39" t="s">
        <v>134</v>
      </c>
      <c r="C471" s="39" t="s">
        <v>144</v>
      </c>
      <c r="E471" s="65" t="s">
        <v>104</v>
      </c>
      <c r="F471" s="66">
        <v>0.28499999999999998</v>
      </c>
      <c r="G471" s="67">
        <v>0.34</v>
      </c>
      <c r="H471" s="68">
        <v>0.40500000000000003</v>
      </c>
      <c r="I471" s="69">
        <v>0.44</v>
      </c>
      <c r="J471" s="68">
        <v>0.47</v>
      </c>
      <c r="K471" s="67">
        <v>0.54500000000000004</v>
      </c>
      <c r="L471" s="66">
        <v>0.60499999999999998</v>
      </c>
    </row>
    <row r="472" spans="1:12" hidden="1" outlineLevel="1" x14ac:dyDescent="0.2">
      <c r="B472" s="39" t="s">
        <v>134</v>
      </c>
      <c r="C472" s="39" t="s">
        <v>144</v>
      </c>
      <c r="E472" s="65" t="s">
        <v>105</v>
      </c>
      <c r="F472" s="69"/>
      <c r="G472" s="69"/>
      <c r="H472" s="68">
        <v>2.5000000000000001E-2</v>
      </c>
      <c r="I472" s="69">
        <v>0.04</v>
      </c>
      <c r="J472" s="68">
        <v>5.5E-2</v>
      </c>
      <c r="K472" s="67">
        <v>9.5000000000000001E-2</v>
      </c>
      <c r="L472" s="66">
        <v>0.13</v>
      </c>
    </row>
    <row r="473" spans="1:12" hidden="1" outlineLevel="1" x14ac:dyDescent="0.2">
      <c r="B473" s="39" t="s">
        <v>134</v>
      </c>
      <c r="C473" s="39" t="s">
        <v>144</v>
      </c>
      <c r="E473" s="65" t="s">
        <v>106</v>
      </c>
      <c r="F473" s="69"/>
      <c r="G473" s="69"/>
      <c r="H473" s="68">
        <v>0.15</v>
      </c>
      <c r="I473" s="69">
        <v>0.17</v>
      </c>
      <c r="J473" s="68">
        <v>0.19500000000000001</v>
      </c>
      <c r="K473" s="67">
        <v>0.23499999999999999</v>
      </c>
      <c r="L473" s="66">
        <v>0.28000000000000003</v>
      </c>
    </row>
    <row r="474" spans="1:12" hidden="1" outlineLevel="1" x14ac:dyDescent="0.2">
      <c r="B474" s="39" t="s">
        <v>134</v>
      </c>
      <c r="C474" s="39" t="s">
        <v>144</v>
      </c>
      <c r="E474" s="65" t="s">
        <v>107</v>
      </c>
      <c r="F474" s="69"/>
      <c r="G474" s="69"/>
      <c r="H474" s="69"/>
      <c r="I474" s="69">
        <v>0.06</v>
      </c>
      <c r="J474" s="69"/>
      <c r="K474" s="67">
        <v>0.09</v>
      </c>
      <c r="L474" s="66">
        <v>0.105</v>
      </c>
    </row>
    <row r="475" spans="1:12" hidden="1" outlineLevel="1" x14ac:dyDescent="0.2">
      <c r="B475" s="39" t="s">
        <v>134</v>
      </c>
      <c r="C475" s="39" t="s">
        <v>144</v>
      </c>
      <c r="E475" s="65" t="s">
        <v>108</v>
      </c>
      <c r="F475" s="69"/>
      <c r="G475" s="69"/>
      <c r="H475" s="69"/>
      <c r="I475" s="69">
        <v>0.02</v>
      </c>
      <c r="J475" s="69"/>
      <c r="K475" s="67">
        <v>3.5000000000000003E-2</v>
      </c>
      <c r="L475" s="66">
        <v>0.06</v>
      </c>
    </row>
    <row r="476" spans="1:12" hidden="1" outlineLevel="1" x14ac:dyDescent="0.2">
      <c r="B476" s="39" t="s">
        <v>134</v>
      </c>
      <c r="C476" s="39" t="s">
        <v>144</v>
      </c>
      <c r="E476" s="65" t="s">
        <v>109</v>
      </c>
      <c r="F476" s="69"/>
      <c r="G476" s="69"/>
      <c r="H476" s="69"/>
      <c r="I476" s="69">
        <v>0.04</v>
      </c>
      <c r="J476" s="69"/>
      <c r="K476" s="67">
        <v>5.5E-2</v>
      </c>
      <c r="L476" s="66">
        <v>6.5000000000000002E-2</v>
      </c>
    </row>
    <row r="477" spans="1:12" hidden="1" outlineLevel="1" x14ac:dyDescent="0.2">
      <c r="B477" s="39" t="s">
        <v>134</v>
      </c>
      <c r="C477" s="39" t="s">
        <v>144</v>
      </c>
      <c r="E477" s="65" t="s">
        <v>110</v>
      </c>
      <c r="F477" s="66">
        <v>0.02</v>
      </c>
      <c r="G477" s="67">
        <v>2.5000000000000001E-2</v>
      </c>
      <c r="H477" s="68">
        <v>3.5000000000000003E-2</v>
      </c>
      <c r="I477" s="69">
        <v>4.4999999999999998E-2</v>
      </c>
      <c r="J477" s="68">
        <v>5.5E-2</v>
      </c>
      <c r="K477" s="69"/>
      <c r="L477" s="69"/>
    </row>
    <row r="478" spans="1:12" hidden="1" outlineLevel="1" x14ac:dyDescent="0.2">
      <c r="B478" s="39" t="s">
        <v>134</v>
      </c>
      <c r="C478" s="39" t="s">
        <v>144</v>
      </c>
      <c r="E478" s="65" t="s">
        <v>111</v>
      </c>
      <c r="F478" s="69"/>
      <c r="G478" s="69"/>
      <c r="H478" s="69"/>
      <c r="I478" s="69">
        <v>0.01</v>
      </c>
      <c r="J478" s="69"/>
      <c r="K478" s="67">
        <v>1.4999999999999999E-2</v>
      </c>
      <c r="L478" s="66">
        <v>0.02</v>
      </c>
    </row>
    <row r="479" spans="1:12" hidden="1" outlineLevel="1" x14ac:dyDescent="0.2">
      <c r="B479" s="39" t="s">
        <v>134</v>
      </c>
      <c r="C479" s="39" t="s">
        <v>144</v>
      </c>
      <c r="E479" s="65" t="s">
        <v>34</v>
      </c>
      <c r="F479" s="69"/>
      <c r="G479" s="69"/>
      <c r="H479" s="68">
        <v>0.09</v>
      </c>
      <c r="I479" s="69">
        <v>0.1</v>
      </c>
      <c r="J479" s="68">
        <v>0.115</v>
      </c>
      <c r="K479" s="67">
        <v>0.155</v>
      </c>
      <c r="L479" s="66">
        <v>0.19</v>
      </c>
    </row>
    <row r="480" spans="1:12" hidden="1" outlineLevel="1" x14ac:dyDescent="0.2">
      <c r="B480" s="39" t="s">
        <v>134</v>
      </c>
      <c r="C480" s="39" t="s">
        <v>144</v>
      </c>
      <c r="E480" s="65" t="s">
        <v>4</v>
      </c>
      <c r="F480" s="71">
        <v>3</v>
      </c>
      <c r="G480" s="72">
        <v>3.5</v>
      </c>
      <c r="H480" s="73">
        <v>4.5</v>
      </c>
      <c r="I480" s="74">
        <v>5</v>
      </c>
      <c r="J480" s="73">
        <v>6</v>
      </c>
      <c r="K480" s="72">
        <v>8</v>
      </c>
      <c r="L480" s="71">
        <v>10</v>
      </c>
    </row>
    <row r="481" spans="1:12" hidden="1" outlineLevel="1" x14ac:dyDescent="0.2">
      <c r="B481" s="39" t="s">
        <v>134</v>
      </c>
      <c r="C481" s="39" t="s">
        <v>144</v>
      </c>
      <c r="E481" s="70" t="s">
        <v>14</v>
      </c>
      <c r="F481" s="71">
        <v>1.3</v>
      </c>
      <c r="G481" s="72">
        <v>1.5</v>
      </c>
      <c r="H481" s="73">
        <v>2</v>
      </c>
      <c r="I481" s="74">
        <v>2.5</v>
      </c>
      <c r="J481" s="73">
        <v>2.5</v>
      </c>
      <c r="K481" s="72">
        <v>3.5</v>
      </c>
      <c r="L481" s="71">
        <v>4</v>
      </c>
    </row>
    <row r="482" spans="1:12" hidden="1" outlineLevel="1" x14ac:dyDescent="0.2">
      <c r="B482" s="39" t="s">
        <v>134</v>
      </c>
      <c r="C482" s="39" t="s">
        <v>144</v>
      </c>
      <c r="E482" s="65" t="s">
        <v>33</v>
      </c>
      <c r="F482" s="78">
        <v>45000</v>
      </c>
      <c r="G482" s="79">
        <v>52000</v>
      </c>
      <c r="H482" s="80">
        <v>56500</v>
      </c>
      <c r="I482" s="81">
        <v>59000</v>
      </c>
      <c r="J482" s="80">
        <v>61000</v>
      </c>
      <c r="K482" s="79">
        <v>67000</v>
      </c>
      <c r="L482" s="78">
        <v>77000</v>
      </c>
    </row>
    <row r="483" spans="1:12" hidden="1" outlineLevel="1" x14ac:dyDescent="0.2"/>
    <row r="484" spans="1:12" collapsed="1" x14ac:dyDescent="0.2">
      <c r="A484" s="59">
        <v>47</v>
      </c>
      <c r="B484" s="39" t="s">
        <v>22</v>
      </c>
      <c r="C484" s="39" t="s">
        <v>143</v>
      </c>
      <c r="E484" s="154" t="s">
        <v>210</v>
      </c>
    </row>
    <row r="485" spans="1:12" hidden="1" outlineLevel="1" x14ac:dyDescent="0.2">
      <c r="B485" s="39" t="s">
        <v>22</v>
      </c>
      <c r="C485" s="39" t="s">
        <v>143</v>
      </c>
      <c r="E485" s="65" t="s">
        <v>104</v>
      </c>
      <c r="F485" s="66">
        <v>0.40500000000000003</v>
      </c>
      <c r="G485" s="67">
        <v>0.45</v>
      </c>
      <c r="H485" s="68">
        <v>0.5</v>
      </c>
      <c r="I485" s="69">
        <v>0.52</v>
      </c>
      <c r="J485" s="68">
        <v>0.53500000000000003</v>
      </c>
      <c r="K485" s="67">
        <v>0.59</v>
      </c>
      <c r="L485" s="66">
        <v>0.61</v>
      </c>
    </row>
    <row r="486" spans="1:12" hidden="1" outlineLevel="1" x14ac:dyDescent="0.2">
      <c r="B486" s="39" t="s">
        <v>22</v>
      </c>
      <c r="C486" s="39" t="s">
        <v>143</v>
      </c>
      <c r="E486" s="65" t="s">
        <v>105</v>
      </c>
      <c r="F486" s="69"/>
      <c r="G486" s="69"/>
      <c r="H486" s="68">
        <v>0.02</v>
      </c>
      <c r="I486" s="69">
        <v>2.5000000000000001E-2</v>
      </c>
      <c r="J486" s="68">
        <v>0.03</v>
      </c>
      <c r="K486" s="67">
        <v>4.4999999999999998E-2</v>
      </c>
      <c r="L486" s="66">
        <v>0.06</v>
      </c>
    </row>
    <row r="487" spans="1:12" hidden="1" outlineLevel="1" x14ac:dyDescent="0.2">
      <c r="B487" s="39" t="s">
        <v>22</v>
      </c>
      <c r="C487" s="39" t="s">
        <v>143</v>
      </c>
      <c r="E487" s="65" t="s">
        <v>106</v>
      </c>
      <c r="F487" s="69"/>
      <c r="G487" s="69"/>
      <c r="H487" s="68">
        <v>0.105</v>
      </c>
      <c r="I487" s="69">
        <v>0.115</v>
      </c>
      <c r="J487" s="68">
        <v>0.125</v>
      </c>
      <c r="K487" s="67">
        <v>0.155</v>
      </c>
      <c r="L487" s="66">
        <v>0.18</v>
      </c>
    </row>
    <row r="488" spans="1:12" hidden="1" outlineLevel="1" x14ac:dyDescent="0.2">
      <c r="B488" s="39" t="s">
        <v>22</v>
      </c>
      <c r="C488" s="39" t="s">
        <v>143</v>
      </c>
      <c r="E488" s="65" t="s">
        <v>107</v>
      </c>
      <c r="F488" s="69"/>
      <c r="G488" s="69"/>
      <c r="H488" s="69"/>
      <c r="I488" s="69">
        <v>0.06</v>
      </c>
      <c r="J488" s="69"/>
      <c r="K488" s="67">
        <v>8.5000000000000006E-2</v>
      </c>
      <c r="L488" s="66">
        <v>0.105</v>
      </c>
    </row>
    <row r="489" spans="1:12" hidden="1" outlineLevel="1" x14ac:dyDescent="0.2">
      <c r="B489" s="39" t="s">
        <v>22</v>
      </c>
      <c r="C489" s="39" t="s">
        <v>143</v>
      </c>
      <c r="E489" s="65" t="s">
        <v>108</v>
      </c>
      <c r="F489" s="69"/>
      <c r="G489" s="69"/>
      <c r="H489" s="69"/>
      <c r="I489" s="69">
        <v>0.02</v>
      </c>
      <c r="J489" s="69"/>
      <c r="K489" s="67">
        <v>3.5000000000000003E-2</v>
      </c>
      <c r="L489" s="66">
        <v>5.5E-2</v>
      </c>
    </row>
    <row r="490" spans="1:12" hidden="1" outlineLevel="1" x14ac:dyDescent="0.2">
      <c r="B490" s="39" t="s">
        <v>22</v>
      </c>
      <c r="C490" s="39" t="s">
        <v>143</v>
      </c>
      <c r="E490" s="65" t="s">
        <v>109</v>
      </c>
      <c r="F490" s="69"/>
      <c r="G490" s="69"/>
      <c r="H490" s="69"/>
      <c r="I490" s="69">
        <v>0.05</v>
      </c>
      <c r="J490" s="69"/>
      <c r="K490" s="67">
        <v>7.0000000000000007E-2</v>
      </c>
      <c r="L490" s="66">
        <v>0.09</v>
      </c>
    </row>
    <row r="491" spans="1:12" hidden="1" outlineLevel="1" x14ac:dyDescent="0.2">
      <c r="B491" s="39" t="s">
        <v>22</v>
      </c>
      <c r="C491" s="39" t="s">
        <v>143</v>
      </c>
      <c r="E491" s="65" t="s">
        <v>110</v>
      </c>
      <c r="F491" s="66">
        <v>3.5000000000000003E-2</v>
      </c>
      <c r="G491" s="67">
        <v>0.04</v>
      </c>
      <c r="H491" s="68">
        <v>0.05</v>
      </c>
      <c r="I491" s="69">
        <v>5.5E-2</v>
      </c>
      <c r="J491" s="68">
        <v>0.06</v>
      </c>
      <c r="K491" s="69"/>
      <c r="L491" s="69"/>
    </row>
    <row r="492" spans="1:12" hidden="1" outlineLevel="1" x14ac:dyDescent="0.2">
      <c r="B492" s="39" t="s">
        <v>22</v>
      </c>
      <c r="C492" s="39" t="s">
        <v>143</v>
      </c>
      <c r="E492" s="65" t="s">
        <v>111</v>
      </c>
      <c r="F492" s="69"/>
      <c r="G492" s="69"/>
      <c r="H492" s="69"/>
      <c r="I492" s="69">
        <v>0.01</v>
      </c>
      <c r="J492" s="69"/>
      <c r="K492" s="67">
        <v>1.4999999999999999E-2</v>
      </c>
      <c r="L492" s="66">
        <v>0.02</v>
      </c>
    </row>
    <row r="493" spans="1:12" hidden="1" outlineLevel="1" x14ac:dyDescent="0.2">
      <c r="B493" s="39" t="s">
        <v>22</v>
      </c>
      <c r="C493" s="39" t="s">
        <v>143</v>
      </c>
      <c r="E493" s="65" t="s">
        <v>34</v>
      </c>
      <c r="F493" s="69"/>
      <c r="G493" s="69"/>
      <c r="H493" s="68">
        <v>6.5000000000000002E-2</v>
      </c>
      <c r="I493" s="69">
        <v>7.0000000000000007E-2</v>
      </c>
      <c r="J493" s="68">
        <v>7.4999999999999997E-2</v>
      </c>
      <c r="K493" s="67">
        <v>0.1</v>
      </c>
      <c r="L493" s="66">
        <v>0.11</v>
      </c>
    </row>
    <row r="494" spans="1:12" hidden="1" outlineLevel="1" x14ac:dyDescent="0.2">
      <c r="B494" s="39" t="s">
        <v>22</v>
      </c>
      <c r="C494" s="39" t="s">
        <v>143</v>
      </c>
      <c r="E494" s="65" t="s">
        <v>4</v>
      </c>
      <c r="F494" s="71">
        <v>13.5</v>
      </c>
      <c r="G494" s="72">
        <v>14.5</v>
      </c>
      <c r="H494" s="73">
        <v>16</v>
      </c>
      <c r="I494" s="74">
        <v>16.5</v>
      </c>
      <c r="J494" s="73">
        <v>17</v>
      </c>
      <c r="K494" s="72">
        <v>18</v>
      </c>
      <c r="L494" s="71">
        <v>19</v>
      </c>
    </row>
    <row r="495" spans="1:12" hidden="1" outlineLevel="1" x14ac:dyDescent="0.2">
      <c r="B495" s="39" t="s">
        <v>22</v>
      </c>
      <c r="C495" s="39" t="s">
        <v>143</v>
      </c>
      <c r="E495" s="65" t="s">
        <v>14</v>
      </c>
      <c r="F495" s="71">
        <v>7</v>
      </c>
      <c r="G495" s="72">
        <v>7.5</v>
      </c>
      <c r="H495" s="73">
        <v>8.5</v>
      </c>
      <c r="I495" s="74">
        <v>9</v>
      </c>
      <c r="J495" s="73">
        <v>9</v>
      </c>
      <c r="K495" s="72">
        <v>10</v>
      </c>
      <c r="L495" s="71">
        <v>10.5</v>
      </c>
    </row>
    <row r="496" spans="1:12" hidden="1" outlineLevel="1" x14ac:dyDescent="0.2">
      <c r="B496" s="39" t="s">
        <v>22</v>
      </c>
      <c r="C496" s="39" t="s">
        <v>143</v>
      </c>
      <c r="E496" s="65" t="s">
        <v>0</v>
      </c>
      <c r="F496" s="71">
        <v>19</v>
      </c>
      <c r="G496" s="72">
        <v>20.5</v>
      </c>
      <c r="H496" s="73">
        <v>22.5</v>
      </c>
      <c r="I496" s="74">
        <v>23</v>
      </c>
      <c r="J496" s="73">
        <v>23.5</v>
      </c>
      <c r="K496" s="72">
        <v>25</v>
      </c>
      <c r="L496" s="71">
        <v>26</v>
      </c>
    </row>
    <row r="497" spans="1:12" hidden="1" outlineLevel="1" x14ac:dyDescent="0.2">
      <c r="B497" s="39" t="s">
        <v>22</v>
      </c>
      <c r="C497" s="39" t="s">
        <v>143</v>
      </c>
      <c r="E497" s="65" t="s">
        <v>33</v>
      </c>
      <c r="F497" s="78">
        <v>53500</v>
      </c>
      <c r="G497" s="79">
        <v>57000</v>
      </c>
      <c r="H497" s="80">
        <v>62500</v>
      </c>
      <c r="I497" s="81">
        <v>64000</v>
      </c>
      <c r="J497" s="80">
        <v>66000</v>
      </c>
      <c r="K497" s="79">
        <v>72000</v>
      </c>
      <c r="L497" s="78">
        <v>76000</v>
      </c>
    </row>
    <row r="498" spans="1:12" hidden="1" outlineLevel="1" x14ac:dyDescent="0.2"/>
    <row r="499" spans="1:12" collapsed="1" x14ac:dyDescent="0.2">
      <c r="A499" s="59">
        <v>96</v>
      </c>
      <c r="B499" s="39" t="s">
        <v>22</v>
      </c>
      <c r="C499" s="39" t="s">
        <v>144</v>
      </c>
      <c r="E499" s="154" t="s">
        <v>211</v>
      </c>
    </row>
    <row r="500" spans="1:12" hidden="1" outlineLevel="1" x14ac:dyDescent="0.2">
      <c r="B500" s="39" t="s">
        <v>22</v>
      </c>
      <c r="C500" s="39" t="s">
        <v>144</v>
      </c>
      <c r="E500" s="65" t="s">
        <v>104</v>
      </c>
      <c r="F500" s="66">
        <v>0.40500000000000003</v>
      </c>
      <c r="G500" s="67">
        <v>0.45</v>
      </c>
      <c r="H500" s="68">
        <v>0.5</v>
      </c>
      <c r="I500" s="69">
        <v>0.52</v>
      </c>
      <c r="J500" s="68">
        <v>0.53500000000000003</v>
      </c>
      <c r="K500" s="67">
        <v>0.59</v>
      </c>
      <c r="L500" s="66">
        <v>0.61</v>
      </c>
    </row>
    <row r="501" spans="1:12" hidden="1" outlineLevel="1" x14ac:dyDescent="0.2">
      <c r="B501" s="39" t="s">
        <v>22</v>
      </c>
      <c r="C501" s="39" t="s">
        <v>144</v>
      </c>
      <c r="E501" s="65" t="s">
        <v>105</v>
      </c>
      <c r="F501" s="69"/>
      <c r="G501" s="69"/>
      <c r="H501" s="68">
        <v>0.02</v>
      </c>
      <c r="I501" s="69">
        <v>2.5000000000000001E-2</v>
      </c>
      <c r="J501" s="68">
        <v>0.03</v>
      </c>
      <c r="K501" s="67">
        <v>4.4999999999999998E-2</v>
      </c>
      <c r="L501" s="66">
        <v>0.06</v>
      </c>
    </row>
    <row r="502" spans="1:12" hidden="1" outlineLevel="1" x14ac:dyDescent="0.2">
      <c r="B502" s="39" t="s">
        <v>22</v>
      </c>
      <c r="C502" s="39" t="s">
        <v>144</v>
      </c>
      <c r="E502" s="65" t="s">
        <v>106</v>
      </c>
      <c r="F502" s="69"/>
      <c r="G502" s="69"/>
      <c r="H502" s="68">
        <v>0.105</v>
      </c>
      <c r="I502" s="69">
        <v>0.115</v>
      </c>
      <c r="J502" s="68">
        <v>0.125</v>
      </c>
      <c r="K502" s="67">
        <v>0.155</v>
      </c>
      <c r="L502" s="66">
        <v>0.18</v>
      </c>
    </row>
    <row r="503" spans="1:12" hidden="1" outlineLevel="1" x14ac:dyDescent="0.2">
      <c r="B503" s="39" t="s">
        <v>22</v>
      </c>
      <c r="C503" s="39" t="s">
        <v>144</v>
      </c>
      <c r="E503" s="65" t="s">
        <v>107</v>
      </c>
      <c r="F503" s="69"/>
      <c r="G503" s="69"/>
      <c r="H503" s="69"/>
      <c r="I503" s="69">
        <v>0.06</v>
      </c>
      <c r="J503" s="69"/>
      <c r="K503" s="67">
        <v>8.5000000000000006E-2</v>
      </c>
      <c r="L503" s="66">
        <v>0.105</v>
      </c>
    </row>
    <row r="504" spans="1:12" hidden="1" outlineLevel="1" x14ac:dyDescent="0.2">
      <c r="B504" s="39" t="s">
        <v>22</v>
      </c>
      <c r="C504" s="39" t="s">
        <v>144</v>
      </c>
      <c r="E504" s="65" t="s">
        <v>108</v>
      </c>
      <c r="F504" s="69"/>
      <c r="G504" s="69"/>
      <c r="H504" s="69"/>
      <c r="I504" s="69">
        <v>0.02</v>
      </c>
      <c r="J504" s="69"/>
      <c r="K504" s="67">
        <v>3.5000000000000003E-2</v>
      </c>
      <c r="L504" s="66">
        <v>5.5E-2</v>
      </c>
    </row>
    <row r="505" spans="1:12" hidden="1" outlineLevel="1" x14ac:dyDescent="0.2">
      <c r="B505" s="39" t="s">
        <v>22</v>
      </c>
      <c r="C505" s="39" t="s">
        <v>144</v>
      </c>
      <c r="E505" s="65" t="s">
        <v>109</v>
      </c>
      <c r="F505" s="69"/>
      <c r="G505" s="69"/>
      <c r="H505" s="69"/>
      <c r="I505" s="69">
        <v>0.05</v>
      </c>
      <c r="J505" s="69"/>
      <c r="K505" s="67">
        <v>7.0000000000000007E-2</v>
      </c>
      <c r="L505" s="66">
        <v>0.09</v>
      </c>
    </row>
    <row r="506" spans="1:12" hidden="1" outlineLevel="1" x14ac:dyDescent="0.2">
      <c r="B506" s="39" t="s">
        <v>22</v>
      </c>
      <c r="C506" s="39" t="s">
        <v>144</v>
      </c>
      <c r="E506" s="65" t="s">
        <v>110</v>
      </c>
      <c r="F506" s="66">
        <v>3.5000000000000003E-2</v>
      </c>
      <c r="G506" s="67">
        <v>0.04</v>
      </c>
      <c r="H506" s="68">
        <v>0.05</v>
      </c>
      <c r="I506" s="69">
        <v>5.5E-2</v>
      </c>
      <c r="J506" s="68">
        <v>0.06</v>
      </c>
      <c r="K506" s="69"/>
      <c r="L506" s="69"/>
    </row>
    <row r="507" spans="1:12" hidden="1" outlineLevel="1" x14ac:dyDescent="0.2">
      <c r="B507" s="39" t="s">
        <v>22</v>
      </c>
      <c r="C507" s="39" t="s">
        <v>144</v>
      </c>
      <c r="E507" s="65" t="s">
        <v>111</v>
      </c>
      <c r="F507" s="69"/>
      <c r="G507" s="69"/>
      <c r="H507" s="69"/>
      <c r="I507" s="69">
        <v>0.01</v>
      </c>
      <c r="J507" s="69"/>
      <c r="K507" s="67">
        <v>1.4999999999999999E-2</v>
      </c>
      <c r="L507" s="66">
        <v>0.02</v>
      </c>
    </row>
    <row r="508" spans="1:12" hidden="1" outlineLevel="1" x14ac:dyDescent="0.2">
      <c r="B508" s="39" t="s">
        <v>22</v>
      </c>
      <c r="C508" s="39" t="s">
        <v>144</v>
      </c>
      <c r="E508" s="65" t="s">
        <v>34</v>
      </c>
      <c r="F508" s="69"/>
      <c r="G508" s="69"/>
      <c r="H508" s="68">
        <v>6.5000000000000002E-2</v>
      </c>
      <c r="I508" s="69">
        <v>7.0000000000000007E-2</v>
      </c>
      <c r="J508" s="68">
        <v>7.4999999999999997E-2</v>
      </c>
      <c r="K508" s="67">
        <v>0.1</v>
      </c>
      <c r="L508" s="66">
        <v>0.11</v>
      </c>
    </row>
    <row r="509" spans="1:12" hidden="1" outlineLevel="1" x14ac:dyDescent="0.2">
      <c r="B509" s="39" t="s">
        <v>22</v>
      </c>
      <c r="C509" s="39" t="s">
        <v>144</v>
      </c>
      <c r="E509" s="65" t="s">
        <v>4</v>
      </c>
      <c r="F509" s="71">
        <v>13.5</v>
      </c>
      <c r="G509" s="72">
        <v>14.5</v>
      </c>
      <c r="H509" s="73">
        <v>16</v>
      </c>
      <c r="I509" s="74">
        <v>16.5</v>
      </c>
      <c r="J509" s="73">
        <v>17</v>
      </c>
      <c r="K509" s="72">
        <v>18</v>
      </c>
      <c r="L509" s="71">
        <v>19</v>
      </c>
    </row>
    <row r="510" spans="1:12" hidden="1" outlineLevel="1" x14ac:dyDescent="0.2">
      <c r="B510" s="39" t="s">
        <v>22</v>
      </c>
      <c r="C510" s="39" t="s">
        <v>144</v>
      </c>
      <c r="E510" s="65" t="s">
        <v>14</v>
      </c>
      <c r="F510" s="71">
        <v>7</v>
      </c>
      <c r="G510" s="72">
        <v>7.5</v>
      </c>
      <c r="H510" s="73">
        <v>8.5</v>
      </c>
      <c r="I510" s="74">
        <v>9</v>
      </c>
      <c r="J510" s="73">
        <v>9</v>
      </c>
      <c r="K510" s="72">
        <v>10</v>
      </c>
      <c r="L510" s="71">
        <v>10.5</v>
      </c>
    </row>
    <row r="511" spans="1:12" hidden="1" outlineLevel="1" x14ac:dyDescent="0.2">
      <c r="B511" s="39" t="s">
        <v>22</v>
      </c>
      <c r="C511" s="39" t="s">
        <v>144</v>
      </c>
      <c r="E511" s="65" t="s">
        <v>0</v>
      </c>
      <c r="F511" s="71">
        <v>19</v>
      </c>
      <c r="G511" s="72">
        <v>20.5</v>
      </c>
      <c r="H511" s="73">
        <v>22.5</v>
      </c>
      <c r="I511" s="74">
        <v>23</v>
      </c>
      <c r="J511" s="73">
        <v>23.5</v>
      </c>
      <c r="K511" s="72">
        <v>25</v>
      </c>
      <c r="L511" s="71">
        <v>26</v>
      </c>
    </row>
    <row r="512" spans="1:12" hidden="1" outlineLevel="1" x14ac:dyDescent="0.2">
      <c r="B512" s="39" t="s">
        <v>22</v>
      </c>
      <c r="C512" s="39" t="s">
        <v>144</v>
      </c>
      <c r="E512" s="65" t="s">
        <v>33</v>
      </c>
      <c r="F512" s="78">
        <v>43500</v>
      </c>
      <c r="G512" s="79">
        <v>48500</v>
      </c>
      <c r="H512" s="80">
        <v>52500</v>
      </c>
      <c r="I512" s="81">
        <v>54000</v>
      </c>
      <c r="J512" s="80">
        <v>56000</v>
      </c>
      <c r="K512" s="79">
        <v>59500</v>
      </c>
      <c r="L512" s="78">
        <v>63500</v>
      </c>
    </row>
    <row r="513" spans="1:12" hidden="1" outlineLevel="1" x14ac:dyDescent="0.2"/>
    <row r="514" spans="1:12" collapsed="1" x14ac:dyDescent="0.2">
      <c r="A514" s="59">
        <v>78</v>
      </c>
      <c r="B514" s="39" t="s">
        <v>145</v>
      </c>
      <c r="C514" s="39" t="s">
        <v>143</v>
      </c>
      <c r="E514" s="154" t="s">
        <v>212</v>
      </c>
    </row>
    <row r="515" spans="1:12" hidden="1" outlineLevel="1" x14ac:dyDescent="0.2">
      <c r="B515" s="39" t="s">
        <v>145</v>
      </c>
      <c r="C515" s="39" t="s">
        <v>143</v>
      </c>
      <c r="E515" s="65" t="s">
        <v>104</v>
      </c>
      <c r="F515" s="66">
        <v>0.16</v>
      </c>
      <c r="G515" s="67">
        <v>0.19500000000000001</v>
      </c>
      <c r="H515" s="68">
        <v>0.245</v>
      </c>
      <c r="I515" s="69">
        <v>0.26</v>
      </c>
      <c r="J515" s="68">
        <v>0.28999999999999998</v>
      </c>
      <c r="K515" s="67">
        <v>0.34</v>
      </c>
      <c r="L515" s="66">
        <v>0.38</v>
      </c>
    </row>
    <row r="516" spans="1:12" hidden="1" outlineLevel="1" x14ac:dyDescent="0.2">
      <c r="B516" s="39" t="s">
        <v>145</v>
      </c>
      <c r="C516" s="39" t="s">
        <v>143</v>
      </c>
      <c r="E516" s="65" t="s">
        <v>105</v>
      </c>
      <c r="F516" s="69"/>
      <c r="G516" s="69"/>
      <c r="H516" s="68">
        <v>5.0000000000000001E-3</v>
      </c>
      <c r="I516" s="69">
        <v>0.01</v>
      </c>
      <c r="J516" s="68">
        <v>1.4999999999999999E-2</v>
      </c>
      <c r="K516" s="67">
        <v>0.03</v>
      </c>
      <c r="L516" s="66">
        <v>0.05</v>
      </c>
    </row>
    <row r="517" spans="1:12" hidden="1" outlineLevel="1" x14ac:dyDescent="0.2">
      <c r="B517" s="39" t="s">
        <v>145</v>
      </c>
      <c r="C517" s="39" t="s">
        <v>143</v>
      </c>
      <c r="E517" s="65" t="s">
        <v>106</v>
      </c>
      <c r="F517" s="69"/>
      <c r="G517" s="69"/>
      <c r="H517" s="68">
        <v>0.29499999999999998</v>
      </c>
      <c r="I517" s="69">
        <v>0.33500000000000002</v>
      </c>
      <c r="J517" s="68">
        <v>0.36</v>
      </c>
      <c r="K517" s="67">
        <v>0.43</v>
      </c>
      <c r="L517" s="66">
        <v>0.47499999999999998</v>
      </c>
    </row>
    <row r="518" spans="1:12" hidden="1" outlineLevel="1" x14ac:dyDescent="0.2">
      <c r="B518" s="39" t="s">
        <v>145</v>
      </c>
      <c r="C518" s="39" t="s">
        <v>143</v>
      </c>
      <c r="E518" s="65" t="s">
        <v>107</v>
      </c>
      <c r="F518" s="69"/>
      <c r="G518" s="69"/>
      <c r="H518" s="69"/>
      <c r="I518" s="69">
        <v>6.5000000000000002E-2</v>
      </c>
      <c r="J518" s="69"/>
      <c r="K518" s="67">
        <v>9.5000000000000001E-2</v>
      </c>
      <c r="L518" s="66">
        <v>0.115</v>
      </c>
    </row>
    <row r="519" spans="1:12" hidden="1" outlineLevel="1" x14ac:dyDescent="0.2">
      <c r="B519" s="39" t="s">
        <v>145</v>
      </c>
      <c r="C519" s="39" t="s">
        <v>143</v>
      </c>
      <c r="E519" s="65" t="s">
        <v>108</v>
      </c>
      <c r="F519" s="69"/>
      <c r="G519" s="69"/>
      <c r="H519" s="69"/>
      <c r="I519" s="69">
        <v>0.03</v>
      </c>
      <c r="J519" s="69"/>
      <c r="K519" s="67">
        <v>5.5E-2</v>
      </c>
      <c r="L519" s="66">
        <v>0.08</v>
      </c>
    </row>
    <row r="520" spans="1:12" hidden="1" outlineLevel="1" x14ac:dyDescent="0.2">
      <c r="B520" s="39" t="s">
        <v>145</v>
      </c>
      <c r="C520" s="39" t="s">
        <v>143</v>
      </c>
      <c r="E520" s="65" t="s">
        <v>109</v>
      </c>
      <c r="F520" s="69"/>
      <c r="G520" s="69"/>
      <c r="H520" s="69"/>
      <c r="I520" s="69">
        <v>0.05</v>
      </c>
      <c r="J520" s="69"/>
      <c r="K520" s="67">
        <v>7.0000000000000007E-2</v>
      </c>
      <c r="L520" s="66">
        <v>0.09</v>
      </c>
    </row>
    <row r="521" spans="1:12" hidden="1" outlineLevel="1" x14ac:dyDescent="0.2">
      <c r="B521" s="39" t="s">
        <v>145</v>
      </c>
      <c r="C521" s="39" t="s">
        <v>143</v>
      </c>
      <c r="E521" s="65" t="s">
        <v>110</v>
      </c>
      <c r="F521" s="66">
        <v>0.01</v>
      </c>
      <c r="G521" s="67">
        <v>1.4999999999999999E-2</v>
      </c>
      <c r="H521" s="68">
        <v>0.02</v>
      </c>
      <c r="I521" s="69">
        <v>0.02</v>
      </c>
      <c r="J521" s="68">
        <v>2.5000000000000001E-2</v>
      </c>
      <c r="K521" s="69"/>
      <c r="L521" s="69"/>
    </row>
    <row r="522" spans="1:12" hidden="1" outlineLevel="1" x14ac:dyDescent="0.2">
      <c r="B522" s="39" t="s">
        <v>145</v>
      </c>
      <c r="C522" s="39" t="s">
        <v>143</v>
      </c>
      <c r="E522" s="70" t="s">
        <v>111</v>
      </c>
      <c r="F522" s="69"/>
      <c r="G522" s="69"/>
      <c r="H522" s="69"/>
      <c r="I522" s="69">
        <v>0.01</v>
      </c>
      <c r="J522" s="69"/>
      <c r="K522" s="67">
        <v>1.4999999999999999E-2</v>
      </c>
      <c r="L522" s="66">
        <v>0.02</v>
      </c>
    </row>
    <row r="523" spans="1:12" hidden="1" outlineLevel="1" x14ac:dyDescent="0.2">
      <c r="B523" s="39" t="s">
        <v>145</v>
      </c>
      <c r="C523" s="39" t="s">
        <v>143</v>
      </c>
      <c r="E523" s="65" t="s">
        <v>34</v>
      </c>
      <c r="F523" s="69"/>
      <c r="G523" s="69"/>
      <c r="H523" s="68">
        <v>8.5000000000000006E-2</v>
      </c>
      <c r="I523" s="69">
        <v>9.5000000000000001E-2</v>
      </c>
      <c r="J523" s="68">
        <v>0.105</v>
      </c>
      <c r="K523" s="67">
        <v>0.14000000000000001</v>
      </c>
      <c r="L523" s="66">
        <v>0.17499999999999999</v>
      </c>
    </row>
    <row r="524" spans="1:12" hidden="1" outlineLevel="1" x14ac:dyDescent="0.2">
      <c r="B524" s="39" t="s">
        <v>145</v>
      </c>
      <c r="C524" s="39" t="s">
        <v>143</v>
      </c>
      <c r="E524" s="65" t="s">
        <v>4</v>
      </c>
      <c r="F524" s="71">
        <v>13.5</v>
      </c>
      <c r="G524" s="72">
        <v>16</v>
      </c>
      <c r="H524" s="73">
        <v>20</v>
      </c>
      <c r="I524" s="74">
        <v>21.5</v>
      </c>
      <c r="J524" s="73">
        <v>23</v>
      </c>
      <c r="K524" s="72">
        <v>29</v>
      </c>
      <c r="L524" s="71">
        <v>34</v>
      </c>
    </row>
    <row r="525" spans="1:12" hidden="1" outlineLevel="1" x14ac:dyDescent="0.2">
      <c r="B525" s="39" t="s">
        <v>145</v>
      </c>
      <c r="C525" s="39" t="s">
        <v>143</v>
      </c>
      <c r="E525" s="65" t="s">
        <v>14</v>
      </c>
      <c r="F525" s="71">
        <v>3</v>
      </c>
      <c r="G525" s="72">
        <v>3.5</v>
      </c>
      <c r="H525" s="73">
        <v>4.5</v>
      </c>
      <c r="I525" s="74">
        <v>4.5</v>
      </c>
      <c r="J525" s="73">
        <v>5</v>
      </c>
      <c r="K525" s="72">
        <v>6</v>
      </c>
      <c r="L525" s="71">
        <v>7</v>
      </c>
    </row>
    <row r="526" spans="1:12" hidden="1" outlineLevel="1" x14ac:dyDescent="0.2">
      <c r="B526" s="39" t="s">
        <v>145</v>
      </c>
      <c r="C526" s="39" t="s">
        <v>143</v>
      </c>
      <c r="E526" s="65" t="s">
        <v>33</v>
      </c>
      <c r="F526" s="78">
        <v>45500</v>
      </c>
      <c r="G526" s="79">
        <v>55500</v>
      </c>
      <c r="H526" s="80">
        <v>62500</v>
      </c>
      <c r="I526" s="81">
        <v>66000</v>
      </c>
      <c r="J526" s="80">
        <v>69000</v>
      </c>
      <c r="K526" s="79">
        <v>77500</v>
      </c>
      <c r="L526" s="78">
        <v>83000</v>
      </c>
    </row>
    <row r="527" spans="1:12" hidden="1" outlineLevel="1" x14ac:dyDescent="0.2"/>
    <row r="528" spans="1:12" collapsed="1" x14ac:dyDescent="0.2">
      <c r="A528" s="59">
        <v>315</v>
      </c>
      <c r="B528" s="39" t="s">
        <v>145</v>
      </c>
      <c r="C528" s="39" t="s">
        <v>144</v>
      </c>
      <c r="E528" s="154" t="s">
        <v>213</v>
      </c>
    </row>
    <row r="529" spans="1:14" hidden="1" outlineLevel="1" x14ac:dyDescent="0.2">
      <c r="B529" s="39" t="s">
        <v>145</v>
      </c>
      <c r="C529" s="39" t="s">
        <v>144</v>
      </c>
      <c r="E529" s="65" t="s">
        <v>104</v>
      </c>
      <c r="F529" s="66">
        <v>0.16</v>
      </c>
      <c r="G529" s="67">
        <v>0.19500000000000001</v>
      </c>
      <c r="H529" s="68">
        <v>0.245</v>
      </c>
      <c r="I529" s="69">
        <v>0.26</v>
      </c>
      <c r="J529" s="68">
        <v>0.28999999999999998</v>
      </c>
      <c r="K529" s="67">
        <v>0.34</v>
      </c>
      <c r="L529" s="66">
        <v>0.38</v>
      </c>
    </row>
    <row r="530" spans="1:14" hidden="1" outlineLevel="1" x14ac:dyDescent="0.2">
      <c r="B530" s="39" t="s">
        <v>145</v>
      </c>
      <c r="C530" s="39" t="s">
        <v>144</v>
      </c>
      <c r="E530" s="65" t="s">
        <v>105</v>
      </c>
      <c r="F530" s="69"/>
      <c r="G530" s="69"/>
      <c r="H530" s="68">
        <v>5.0000000000000001E-3</v>
      </c>
      <c r="I530" s="69">
        <v>0.01</v>
      </c>
      <c r="J530" s="68">
        <v>1.4999999999999999E-2</v>
      </c>
      <c r="K530" s="67">
        <v>0.03</v>
      </c>
      <c r="L530" s="66">
        <v>0.05</v>
      </c>
    </row>
    <row r="531" spans="1:14" hidden="1" outlineLevel="1" x14ac:dyDescent="0.2">
      <c r="B531" s="39" t="s">
        <v>145</v>
      </c>
      <c r="C531" s="39" t="s">
        <v>144</v>
      </c>
      <c r="E531" s="65" t="s">
        <v>106</v>
      </c>
      <c r="F531" s="69"/>
      <c r="G531" s="69"/>
      <c r="H531" s="68">
        <v>0.29499999999999998</v>
      </c>
      <c r="I531" s="69">
        <v>0.33500000000000002</v>
      </c>
      <c r="J531" s="68">
        <v>0.36</v>
      </c>
      <c r="K531" s="67">
        <v>0.43</v>
      </c>
      <c r="L531" s="66">
        <v>0.47499999999999998</v>
      </c>
    </row>
    <row r="532" spans="1:14" hidden="1" outlineLevel="1" x14ac:dyDescent="0.2">
      <c r="B532" s="39" t="s">
        <v>145</v>
      </c>
      <c r="C532" s="39" t="s">
        <v>144</v>
      </c>
      <c r="E532" s="65" t="s">
        <v>107</v>
      </c>
      <c r="F532" s="69"/>
      <c r="G532" s="69"/>
      <c r="H532" s="69"/>
      <c r="I532" s="69">
        <v>6.5000000000000002E-2</v>
      </c>
      <c r="J532" s="69"/>
      <c r="K532" s="67">
        <v>9.5000000000000001E-2</v>
      </c>
      <c r="L532" s="66">
        <v>0.115</v>
      </c>
    </row>
    <row r="533" spans="1:14" hidden="1" outlineLevel="1" x14ac:dyDescent="0.2">
      <c r="B533" s="39" t="s">
        <v>145</v>
      </c>
      <c r="C533" s="39" t="s">
        <v>144</v>
      </c>
      <c r="E533" s="65" t="s">
        <v>108</v>
      </c>
      <c r="F533" s="69"/>
      <c r="G533" s="69"/>
      <c r="H533" s="69"/>
      <c r="I533" s="69">
        <v>0.03</v>
      </c>
      <c r="J533" s="69"/>
      <c r="K533" s="67">
        <v>5.5E-2</v>
      </c>
      <c r="L533" s="66">
        <v>0.08</v>
      </c>
    </row>
    <row r="534" spans="1:14" hidden="1" outlineLevel="1" x14ac:dyDescent="0.2">
      <c r="B534" s="39" t="s">
        <v>145</v>
      </c>
      <c r="C534" s="39" t="s">
        <v>144</v>
      </c>
      <c r="E534" s="65" t="s">
        <v>109</v>
      </c>
      <c r="F534" s="69"/>
      <c r="G534" s="69"/>
      <c r="H534" s="69"/>
      <c r="I534" s="69">
        <v>0.05</v>
      </c>
      <c r="J534" s="69"/>
      <c r="K534" s="67">
        <v>7.0000000000000007E-2</v>
      </c>
      <c r="L534" s="66">
        <v>0.09</v>
      </c>
    </row>
    <row r="535" spans="1:14" hidden="1" outlineLevel="1" x14ac:dyDescent="0.2">
      <c r="B535" s="39" t="s">
        <v>145</v>
      </c>
      <c r="C535" s="39" t="s">
        <v>144</v>
      </c>
      <c r="E535" s="65" t="s">
        <v>110</v>
      </c>
      <c r="F535" s="66">
        <v>0.01</v>
      </c>
      <c r="G535" s="67">
        <v>1.4999999999999999E-2</v>
      </c>
      <c r="H535" s="68">
        <v>0.02</v>
      </c>
      <c r="I535" s="69">
        <v>0.02</v>
      </c>
      <c r="J535" s="68">
        <v>2.5000000000000001E-2</v>
      </c>
      <c r="K535" s="69"/>
      <c r="L535" s="69"/>
    </row>
    <row r="536" spans="1:14" hidden="1" outlineLevel="1" x14ac:dyDescent="0.2">
      <c r="B536" s="39" t="s">
        <v>145</v>
      </c>
      <c r="C536" s="39" t="s">
        <v>144</v>
      </c>
      <c r="E536" s="65" t="s">
        <v>111</v>
      </c>
      <c r="F536" s="69"/>
      <c r="G536" s="69"/>
      <c r="H536" s="69"/>
      <c r="I536" s="69">
        <v>0.01</v>
      </c>
      <c r="J536" s="69"/>
      <c r="K536" s="67">
        <v>1.4999999999999999E-2</v>
      </c>
      <c r="L536" s="66">
        <v>0.02</v>
      </c>
    </row>
    <row r="537" spans="1:14" hidden="1" outlineLevel="1" x14ac:dyDescent="0.2">
      <c r="B537" s="39" t="s">
        <v>145</v>
      </c>
      <c r="C537" s="39" t="s">
        <v>144</v>
      </c>
      <c r="E537" s="65" t="s">
        <v>34</v>
      </c>
      <c r="F537" s="69"/>
      <c r="G537" s="69"/>
      <c r="H537" s="68">
        <v>8.5000000000000006E-2</v>
      </c>
      <c r="I537" s="69">
        <v>9.5000000000000001E-2</v>
      </c>
      <c r="J537" s="68">
        <v>0.105</v>
      </c>
      <c r="K537" s="67">
        <v>0.14000000000000001</v>
      </c>
      <c r="L537" s="66">
        <v>0.17499999999999999</v>
      </c>
    </row>
    <row r="538" spans="1:14" hidden="1" outlineLevel="1" x14ac:dyDescent="0.2">
      <c r="B538" s="39" t="s">
        <v>145</v>
      </c>
      <c r="C538" s="39" t="s">
        <v>144</v>
      </c>
      <c r="E538" s="65" t="s">
        <v>4</v>
      </c>
      <c r="F538" s="71">
        <v>13.5</v>
      </c>
      <c r="G538" s="72">
        <v>16</v>
      </c>
      <c r="H538" s="73">
        <v>20</v>
      </c>
      <c r="I538" s="74">
        <v>21.5</v>
      </c>
      <c r="J538" s="73">
        <v>23</v>
      </c>
      <c r="K538" s="72">
        <v>29</v>
      </c>
      <c r="L538" s="71">
        <v>34</v>
      </c>
    </row>
    <row r="539" spans="1:14" hidden="1" outlineLevel="1" x14ac:dyDescent="0.2">
      <c r="B539" s="39" t="s">
        <v>145</v>
      </c>
      <c r="C539" s="39" t="s">
        <v>144</v>
      </c>
      <c r="E539" s="65" t="s">
        <v>14</v>
      </c>
      <c r="F539" s="71">
        <v>3</v>
      </c>
      <c r="G539" s="72">
        <v>3.5</v>
      </c>
      <c r="H539" s="73">
        <v>4.5</v>
      </c>
      <c r="I539" s="74">
        <v>4.5</v>
      </c>
      <c r="J539" s="73">
        <v>5</v>
      </c>
      <c r="K539" s="72">
        <v>6</v>
      </c>
      <c r="L539" s="71">
        <v>7</v>
      </c>
    </row>
    <row r="540" spans="1:14" hidden="1" outlineLevel="1" x14ac:dyDescent="0.2">
      <c r="B540" s="39" t="s">
        <v>145</v>
      </c>
      <c r="C540" s="39" t="s">
        <v>144</v>
      </c>
      <c r="E540" s="65" t="s">
        <v>33</v>
      </c>
      <c r="F540" s="78">
        <v>44000</v>
      </c>
      <c r="G540" s="79">
        <v>52500</v>
      </c>
      <c r="H540" s="80">
        <v>56500</v>
      </c>
      <c r="I540" s="81">
        <v>60000</v>
      </c>
      <c r="J540" s="80">
        <v>62000</v>
      </c>
      <c r="K540" s="79">
        <v>68000</v>
      </c>
      <c r="L540" s="78">
        <v>72500</v>
      </c>
    </row>
    <row r="541" spans="1:14" collapsed="1" x14ac:dyDescent="0.2"/>
    <row r="542" spans="1:14" s="63" customFormat="1" ht="60" x14ac:dyDescent="0.25">
      <c r="A542" s="62" t="s">
        <v>146</v>
      </c>
      <c r="B542" s="62" t="s">
        <v>16</v>
      </c>
      <c r="C542" s="62" t="s">
        <v>147</v>
      </c>
      <c r="D542" s="355" t="s">
        <v>157</v>
      </c>
      <c r="E542" s="355"/>
      <c r="F542" s="64" t="s">
        <v>149</v>
      </c>
      <c r="G542" s="64" t="s">
        <v>150</v>
      </c>
      <c r="H542" s="64" t="s">
        <v>151</v>
      </c>
      <c r="I542" s="64" t="s">
        <v>156</v>
      </c>
      <c r="J542" s="64" t="s">
        <v>155</v>
      </c>
      <c r="K542" s="64" t="s">
        <v>152</v>
      </c>
      <c r="L542" s="64" t="s">
        <v>153</v>
      </c>
      <c r="N542" s="63" t="s">
        <v>154</v>
      </c>
    </row>
    <row r="543" spans="1:14" x14ac:dyDescent="0.2">
      <c r="A543" s="75">
        <v>1721</v>
      </c>
      <c r="B543" s="39" t="s">
        <v>21</v>
      </c>
      <c r="C543" s="39" t="s">
        <v>143</v>
      </c>
      <c r="D543" s="75"/>
      <c r="E543" s="154" t="s">
        <v>214</v>
      </c>
      <c r="N543" s="77"/>
    </row>
    <row r="544" spans="1:14" hidden="1" outlineLevel="1" x14ac:dyDescent="0.2">
      <c r="B544" s="39" t="s">
        <v>21</v>
      </c>
      <c r="C544" s="39" t="s">
        <v>143</v>
      </c>
      <c r="E544" s="65" t="s">
        <v>33</v>
      </c>
      <c r="F544" s="78">
        <v>49000</v>
      </c>
      <c r="G544" s="79">
        <v>52000</v>
      </c>
      <c r="H544" s="80">
        <v>56000</v>
      </c>
      <c r="I544" s="81">
        <v>57500</v>
      </c>
      <c r="J544" s="80">
        <v>59000</v>
      </c>
      <c r="K544" s="79">
        <v>64000</v>
      </c>
      <c r="L544" s="78">
        <v>68500</v>
      </c>
    </row>
    <row r="545" spans="1:12" hidden="1" outlineLevel="1" x14ac:dyDescent="0.2"/>
    <row r="546" spans="1:12" collapsed="1" x14ac:dyDescent="0.2">
      <c r="A546" s="75">
        <v>13651</v>
      </c>
      <c r="B546" s="39" t="s">
        <v>21</v>
      </c>
      <c r="C546" s="39" t="s">
        <v>144</v>
      </c>
      <c r="D546" s="75"/>
      <c r="E546" s="154" t="s">
        <v>215</v>
      </c>
    </row>
    <row r="547" spans="1:12" hidden="1" outlineLevel="1" x14ac:dyDescent="0.2">
      <c r="B547" s="39" t="s">
        <v>21</v>
      </c>
      <c r="C547" s="39" t="s">
        <v>144</v>
      </c>
      <c r="E547" s="65" t="s">
        <v>33</v>
      </c>
      <c r="F547" s="78">
        <v>44000</v>
      </c>
      <c r="G547" s="79">
        <v>47000</v>
      </c>
      <c r="H547" s="80">
        <v>50000</v>
      </c>
      <c r="I547" s="81">
        <v>51500</v>
      </c>
      <c r="J547" s="80">
        <v>53000</v>
      </c>
      <c r="K547" s="79">
        <v>56500</v>
      </c>
      <c r="L547" s="78">
        <v>60000</v>
      </c>
    </row>
    <row r="548" spans="1:12" ht="13.9" hidden="1" customHeight="1" outlineLevel="1" x14ac:dyDescent="0.2"/>
    <row r="549" spans="1:12" ht="14.65" customHeight="1" collapsed="1" x14ac:dyDescent="0.2">
      <c r="A549" s="59">
        <v>328</v>
      </c>
      <c r="B549" s="39" t="s">
        <v>131</v>
      </c>
      <c r="C549" s="39" t="s">
        <v>143</v>
      </c>
      <c r="D549" s="39"/>
      <c r="E549" s="154" t="s">
        <v>219</v>
      </c>
    </row>
    <row r="550" spans="1:12" hidden="1" outlineLevel="1" x14ac:dyDescent="0.2">
      <c r="B550" s="39" t="s">
        <v>131</v>
      </c>
      <c r="C550" s="39" t="s">
        <v>143</v>
      </c>
      <c r="D550" s="39"/>
      <c r="E550" s="65" t="s">
        <v>33</v>
      </c>
      <c r="F550" s="78">
        <v>56000</v>
      </c>
      <c r="G550" s="79">
        <v>59000</v>
      </c>
      <c r="H550" s="80">
        <v>61500</v>
      </c>
      <c r="I550" s="81">
        <v>63000</v>
      </c>
      <c r="J550" s="80">
        <v>64500</v>
      </c>
      <c r="K550" s="79">
        <v>68500</v>
      </c>
      <c r="L550" s="78">
        <v>73000</v>
      </c>
    </row>
    <row r="551" spans="1:12" hidden="1" outlineLevel="1" x14ac:dyDescent="0.2"/>
    <row r="552" spans="1:12" collapsed="1" x14ac:dyDescent="0.2">
      <c r="A552" s="75">
        <v>1861</v>
      </c>
      <c r="B552" s="39" t="s">
        <v>131</v>
      </c>
      <c r="C552" s="39" t="s">
        <v>144</v>
      </c>
      <c r="D552" s="39"/>
      <c r="E552" s="154" t="s">
        <v>218</v>
      </c>
    </row>
    <row r="553" spans="1:12" hidden="1" outlineLevel="1" x14ac:dyDescent="0.2">
      <c r="B553" s="39" t="s">
        <v>131</v>
      </c>
      <c r="C553" s="39" t="s">
        <v>144</v>
      </c>
      <c r="D553" s="39"/>
      <c r="E553" s="65" t="s">
        <v>33</v>
      </c>
      <c r="F553" s="78">
        <v>51000</v>
      </c>
      <c r="G553" s="79">
        <v>53500</v>
      </c>
      <c r="H553" s="80">
        <v>56000</v>
      </c>
      <c r="I553" s="81">
        <v>57000</v>
      </c>
      <c r="J553" s="80">
        <v>58000</v>
      </c>
      <c r="K553" s="79">
        <v>60500</v>
      </c>
      <c r="L553" s="78">
        <v>62500</v>
      </c>
    </row>
    <row r="554" spans="1:12" hidden="1" outlineLevel="1" x14ac:dyDescent="0.2"/>
    <row r="555" spans="1:12" ht="14.65" customHeight="1" collapsed="1" x14ac:dyDescent="0.2">
      <c r="A555" s="76">
        <v>96</v>
      </c>
      <c r="B555" s="39" t="s">
        <v>132</v>
      </c>
      <c r="C555" s="39" t="s">
        <v>143</v>
      </c>
      <c r="D555" s="39"/>
      <c r="E555" s="154" t="s">
        <v>216</v>
      </c>
    </row>
    <row r="556" spans="1:12" hidden="1" outlineLevel="1" x14ac:dyDescent="0.2">
      <c r="B556" s="39" t="s">
        <v>132</v>
      </c>
      <c r="C556" s="39" t="s">
        <v>143</v>
      </c>
      <c r="D556" s="39"/>
      <c r="E556" s="65" t="s">
        <v>33</v>
      </c>
      <c r="F556" s="78">
        <v>53500</v>
      </c>
      <c r="G556" s="79">
        <v>58000</v>
      </c>
      <c r="H556" s="80">
        <v>62500</v>
      </c>
      <c r="I556" s="81">
        <v>64500</v>
      </c>
      <c r="J556" s="80">
        <v>66500</v>
      </c>
      <c r="K556" s="79">
        <v>71500</v>
      </c>
      <c r="L556" s="78">
        <v>80000</v>
      </c>
    </row>
    <row r="557" spans="1:12" hidden="1" outlineLevel="1" x14ac:dyDescent="0.2"/>
    <row r="558" spans="1:12" collapsed="1" x14ac:dyDescent="0.2">
      <c r="A558" s="75">
        <v>678</v>
      </c>
      <c r="B558" s="39" t="s">
        <v>132</v>
      </c>
      <c r="C558" s="39" t="s">
        <v>144</v>
      </c>
      <c r="D558" s="39"/>
      <c r="E558" s="154" t="s">
        <v>217</v>
      </c>
    </row>
    <row r="559" spans="1:12" hidden="1" outlineLevel="1" x14ac:dyDescent="0.2">
      <c r="B559" s="39" t="s">
        <v>132</v>
      </c>
      <c r="C559" s="39" t="s">
        <v>144</v>
      </c>
      <c r="D559" s="39"/>
      <c r="E559" s="65" t="s">
        <v>33</v>
      </c>
      <c r="F559" s="78">
        <v>50000</v>
      </c>
      <c r="G559" s="79">
        <v>52500</v>
      </c>
      <c r="H559" s="80">
        <v>55500</v>
      </c>
      <c r="I559" s="81">
        <v>56500</v>
      </c>
      <c r="J559" s="80">
        <v>57500</v>
      </c>
      <c r="K559" s="79">
        <v>60500</v>
      </c>
      <c r="L559" s="78">
        <v>65000</v>
      </c>
    </row>
    <row r="560" spans="1:12" hidden="1" outlineLevel="1" x14ac:dyDescent="0.2"/>
    <row r="561" hidden="1" outlineLevel="1" x14ac:dyDescent="0.2"/>
    <row r="562" collapsed="1"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sheetData>
  <sheetProtection formatCells="0" formatColumns="0" formatRows="0" insertColumns="0"/>
  <mergeCells count="2">
    <mergeCell ref="D427:E427"/>
    <mergeCell ref="D542:E542"/>
  </mergeCells>
  <pageMargins left="0.7" right="0.7" top="0.75" bottom="0.75" header="0.3" footer="0.3"/>
  <pageSetup paperSize="9" scale="55" fitToHeight="0" orientation="landscape" r:id="rId1"/>
  <rowBreaks count="12" manualBreakCount="12">
    <brk id="44" max="16383" man="1"/>
    <brk id="86" max="16383" man="1"/>
    <brk id="128" max="16383" man="1"/>
    <brk id="170" max="16383" man="1"/>
    <brk id="214" max="16383" man="1"/>
    <brk id="256" max="16383" man="1"/>
    <brk id="298" max="16383" man="1"/>
    <brk id="340" max="16383" man="1"/>
    <brk id="382" max="16383" man="1"/>
    <brk id="424" max="16383" man="1"/>
    <brk id="468" max="16383" man="1"/>
    <brk id="51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XFD66"/>
  <sheetViews>
    <sheetView showGridLines="0" zoomScale="80" zoomScaleNormal="80" workbookViewId="0">
      <selection activeCell="N9" sqref="N9"/>
    </sheetView>
  </sheetViews>
  <sheetFormatPr defaultColWidth="9" defaultRowHeight="14.25" x14ac:dyDescent="0.2"/>
  <cols>
    <col min="1" max="1" width="60.42578125" style="158" customWidth="1"/>
    <col min="2" max="2" width="4" style="158" customWidth="1"/>
    <col min="3" max="16384" width="9" style="158"/>
  </cols>
  <sheetData>
    <row r="2" spans="1:9" s="156" customFormat="1" ht="15" x14ac:dyDescent="0.25">
      <c r="A2" s="155" t="s">
        <v>231</v>
      </c>
    </row>
    <row r="4" spans="1:9" s="157" customFormat="1" x14ac:dyDescent="0.2">
      <c r="C4" s="157">
        <v>1</v>
      </c>
    </row>
    <row r="5" spans="1:9" x14ac:dyDescent="0.2">
      <c r="C5" s="158" t="str">
        <f>IF(Dashboard!D17="Primary","P",IF(Dashboard!D17="Secondary with sixth form","SS",IF(Dashboard!D17="Secondary without sixth form","S",IF(Dashboard!D17="Special","SP",IF(Dashboard!D17="Alternative provision","AP",IF(Dashboard!D17="All-through","AT",IF(Dashboard!D17="Nursery","N")))))))</f>
        <v>P</v>
      </c>
    </row>
    <row r="6" spans="1:9" x14ac:dyDescent="0.2">
      <c r="C6" s="158" t="str">
        <f>C5&amp;
IF($J29="very small","VS",IF($J29="small","S",IF($J29="medium","M",IF($J29="large","L"))))&amp;
IF($K29="low levels of FSM","L",IF($K29="medium levels of FSM","M",IF($K29="high levels of FSM","H")))</f>
        <v>PLL</v>
      </c>
    </row>
    <row r="7" spans="1:9" x14ac:dyDescent="0.2">
      <c r="C7" s="158" t="str">
        <f>C5&amp;
IF(AND(C5="SS",$I29="in London"),"Lo",IF($I29="in London","L",IF($I29="outside London","NL")))</f>
        <v>PNL</v>
      </c>
    </row>
    <row r="8" spans="1:9" x14ac:dyDescent="0.2">
      <c r="C8" s="158">
        <v>1</v>
      </c>
      <c r="D8" s="158">
        <v>2</v>
      </c>
      <c r="E8" s="158">
        <v>3</v>
      </c>
      <c r="F8" s="158">
        <v>4</v>
      </c>
      <c r="G8" s="158">
        <v>5</v>
      </c>
      <c r="H8" s="158">
        <v>6</v>
      </c>
      <c r="I8" s="158">
        <v>7</v>
      </c>
    </row>
    <row r="9" spans="1:9" x14ac:dyDescent="0.2">
      <c r="A9" s="158" t="s">
        <v>104</v>
      </c>
      <c r="B9" s="158">
        <v>1</v>
      </c>
      <c r="C9" s="159">
        <f t="shared" ref="C9:I9" ca="1" si="0">IF(OR($C$5="P",$C$5="SS",$C$5="S"),INDEX(INDIRECT($C$6),$B9,C$8),
IF(OR($C$5="N",$C$5="AP",$C$5="AT",$C$5="SP"),INDEX(INDIRECT($C$7),$B9,C$8)))</f>
        <v>0.42</v>
      </c>
      <c r="D9" s="159">
        <f t="shared" ca="1" si="0"/>
        <v>0.44500000000000001</v>
      </c>
      <c r="E9" s="160">
        <f t="shared" ca="1" si="0"/>
        <v>0.47</v>
      </c>
      <c r="F9" s="161">
        <f t="shared" ca="1" si="0"/>
        <v>0.48</v>
      </c>
      <c r="G9" s="160">
        <f t="shared" ca="1" si="0"/>
        <v>0.49</v>
      </c>
      <c r="H9" s="159">
        <f t="shared" ca="1" si="0"/>
        <v>0.51</v>
      </c>
      <c r="I9" s="159">
        <f t="shared" ca="1" si="0"/>
        <v>0.53</v>
      </c>
    </row>
    <row r="10" spans="1:9" x14ac:dyDescent="0.2">
      <c r="A10" s="158" t="s">
        <v>105</v>
      </c>
      <c r="B10" s="158">
        <v>2</v>
      </c>
      <c r="C10" s="161"/>
      <c r="D10" s="161"/>
      <c r="E10" s="160">
        <f t="shared" ref="E10:I11" ca="1" si="1">IF(OR($C$5="P",$C$5="SS",$C$5="S"),INDEX(INDIRECT($C$6),$B10,E$8),
IF(OR($C$5="N",$C$5="AP",$C$5="AT",$C$5="SP"),INDEX(INDIRECT($C$7),$B10,E$8)))</f>
        <v>1.4999999999999999E-2</v>
      </c>
      <c r="F10" s="161">
        <f t="shared" ca="1" si="1"/>
        <v>0.02</v>
      </c>
      <c r="G10" s="160">
        <f t="shared" ca="1" si="1"/>
        <v>2.5000000000000001E-2</v>
      </c>
      <c r="H10" s="159">
        <f t="shared" ca="1" si="1"/>
        <v>3.5000000000000003E-2</v>
      </c>
      <c r="I10" s="159">
        <f t="shared" ca="1" si="1"/>
        <v>0.05</v>
      </c>
    </row>
    <row r="11" spans="1:9" x14ac:dyDescent="0.2">
      <c r="A11" s="158" t="s">
        <v>106</v>
      </c>
      <c r="B11" s="158">
        <v>3</v>
      </c>
      <c r="C11" s="161"/>
      <c r="D11" s="161"/>
      <c r="E11" s="160">
        <f t="shared" ca="1" si="1"/>
        <v>0.155</v>
      </c>
      <c r="F11" s="161">
        <f t="shared" ca="1" si="1"/>
        <v>0.16</v>
      </c>
      <c r="G11" s="160">
        <f t="shared" ca="1" si="1"/>
        <v>0.17</v>
      </c>
      <c r="H11" s="159">
        <f t="shared" ca="1" si="1"/>
        <v>0.19500000000000001</v>
      </c>
      <c r="I11" s="159">
        <f t="shared" ca="1" si="1"/>
        <v>0.21</v>
      </c>
    </row>
    <row r="12" spans="1:9" x14ac:dyDescent="0.2">
      <c r="A12" s="158" t="s">
        <v>107</v>
      </c>
      <c r="B12" s="158">
        <v>4</v>
      </c>
      <c r="C12" s="161"/>
      <c r="D12" s="161"/>
      <c r="E12" s="161"/>
      <c r="F12" s="161">
        <f t="shared" ref="F12:F19" ca="1" si="2">IF(OR($C$5="P",$C$5="SS",$C$5="S"),INDEX(INDIRECT($C$6),$B12,F$8),
IF(OR($C$5="N",$C$5="AP",$C$5="AT",$C$5="SP"),INDEX(INDIRECT($C$7),$B12,F$8)))</f>
        <v>4.4999999999999998E-2</v>
      </c>
      <c r="G12" s="161"/>
      <c r="H12" s="159">
        <f ca="1">IF(OR($C$5="P",$C$5="SS",$C$5="S"),INDEX(INDIRECT($C$6),$B12,H$8),
IF(OR($C$5="N",$C$5="AP",$C$5="AT",$C$5="SP"),INDEX(INDIRECT($C$7),$B12,H$8)))</f>
        <v>0.06</v>
      </c>
      <c r="I12" s="159">
        <f ca="1">IF(OR($C$5="P",$C$5="SS",$C$5="S"),INDEX(INDIRECT($C$6),$B12,I$8),
IF(OR($C$5="N",$C$5="AP",$C$5="AT",$C$5="SP"),INDEX(INDIRECT($C$7),$B12,I$8)))</f>
        <v>7.0000000000000007E-2</v>
      </c>
    </row>
    <row r="13" spans="1:9" x14ac:dyDescent="0.2">
      <c r="A13" s="158" t="s">
        <v>108</v>
      </c>
      <c r="B13" s="158">
        <v>5</v>
      </c>
      <c r="C13" s="161"/>
      <c r="D13" s="161"/>
      <c r="E13" s="161"/>
      <c r="F13" s="161">
        <f t="shared" ca="1" si="2"/>
        <v>3.5000000000000003E-2</v>
      </c>
      <c r="G13" s="161"/>
      <c r="H13" s="159">
        <f ca="1">IF(OR($C$5="P",$C$5="SS",$C$5="S"),INDEX(INDIRECT($C$6),$B13,H$8),
IF(OR($C$5="N",$C$5="AP",$C$5="AT",$C$5="SP"),INDEX(INDIRECT($C$7),$B13,H$8)))</f>
        <v>0.05</v>
      </c>
      <c r="I13" s="159">
        <f ca="1">IF(OR($C$5="P",$C$5="SS",$C$5="S"),INDEX(INDIRECT($C$6),$B13,I$8),
IF(OR($C$5="N",$C$5="AP",$C$5="AT",$C$5="SP"),INDEX(INDIRECT($C$7),$B13,I$8)))</f>
        <v>0.06</v>
      </c>
    </row>
    <row r="14" spans="1:9" x14ac:dyDescent="0.2">
      <c r="A14" s="158" t="s">
        <v>109</v>
      </c>
      <c r="B14" s="158">
        <v>6</v>
      </c>
      <c r="C14" s="161"/>
      <c r="D14" s="161"/>
      <c r="E14" s="161"/>
      <c r="F14" s="161">
        <f t="shared" ca="1" si="2"/>
        <v>0.05</v>
      </c>
      <c r="G14" s="161"/>
      <c r="H14" s="159">
        <f t="shared" ref="H14:I19" ca="1" si="3">IF(OR($C$5="P",$C$5="SS",$C$5="S"),INDEX(INDIRECT($C$6),$B14,H$8),
IF(OR($C$5="N",$C$5="AP",$C$5="AT",$C$5="SP"),INDEX(INDIRECT($C$7),$B14,H$8)))</f>
        <v>0.06</v>
      </c>
      <c r="I14" s="159">
        <f t="shared" ca="1" si="3"/>
        <v>7.0000000000000007E-2</v>
      </c>
    </row>
    <row r="15" spans="1:9" x14ac:dyDescent="0.2">
      <c r="A15" s="158" t="s">
        <v>110</v>
      </c>
      <c r="B15" s="158">
        <v>7</v>
      </c>
      <c r="C15" s="159">
        <f ca="1">IF(OR($C$5="P",$C$5="SS",$C$5="S"),INDEX(INDIRECT($C$6),$B15,C$8),
IF(OR($C$5="N",$C$5="AP",$C$5="AT",$C$5="SP"),INDEX(INDIRECT($C$7),$B15,C$8)))</f>
        <v>0.03</v>
      </c>
      <c r="D15" s="159">
        <f ca="1">IF(OR($C$5="P",$C$5="SS",$C$5="S"),INDEX(INDIRECT($C$6),$B15,D$8),
IF(OR($C$5="N",$C$5="AP",$C$5="AT",$C$5="SP"),INDEX(INDIRECT($C$7),$B15,D$8)))</f>
        <v>0.04</v>
      </c>
      <c r="E15" s="160">
        <f ca="1">IF(OR($C$5="P",$C$5="SS",$C$5="S"),INDEX(INDIRECT($C$6),$B15,E$8),
IF(OR($C$5="N",$C$5="AP",$C$5="AT",$C$5="SP"),INDEX(INDIRECT($C$7),$B15,E$8)))</f>
        <v>4.4999999999999998E-2</v>
      </c>
      <c r="F15" s="161">
        <f ca="1">IF(OR($C$5="P",$C$5="SS",$C$5="S"),INDEX(INDIRECT($C$6),$B15,F$8),
IF(OR($C$5="N",$C$5="AP",$C$5="AT",$C$5="SP"),INDEX(INDIRECT($C$7),$B15,F$8)))</f>
        <v>0.05</v>
      </c>
      <c r="G15" s="160">
        <f ca="1">IF(OR($C$5="P",$C$5="SS",$C$5="S"),INDEX(INDIRECT($C$6),$B15,G$8),
IF(OR($C$5="N",$C$5="AP",$C$5="AT",$C$5="SP"),INDEX(INDIRECT($C$7),$B15,G$8)))</f>
        <v>5.5E-2</v>
      </c>
      <c r="H15" s="161"/>
      <c r="I15" s="161"/>
    </row>
    <row r="16" spans="1:9" x14ac:dyDescent="0.2">
      <c r="A16" s="158" t="s">
        <v>111</v>
      </c>
      <c r="B16" s="158">
        <v>8</v>
      </c>
      <c r="C16" s="161"/>
      <c r="D16" s="161"/>
      <c r="E16" s="161"/>
      <c r="F16" s="161">
        <f t="shared" ca="1" si="2"/>
        <v>0.01</v>
      </c>
      <c r="G16" s="161"/>
      <c r="H16" s="159">
        <f t="shared" ca="1" si="3"/>
        <v>1.4999999999999999E-2</v>
      </c>
      <c r="I16" s="159">
        <f t="shared" ca="1" si="3"/>
        <v>0.02</v>
      </c>
    </row>
    <row r="17" spans="1:26" x14ac:dyDescent="0.2">
      <c r="A17" s="158" t="s">
        <v>34</v>
      </c>
      <c r="B17" s="158">
        <v>9</v>
      </c>
      <c r="C17" s="161"/>
      <c r="D17" s="161"/>
      <c r="E17" s="160">
        <f ca="1">IF(OR($C$5="P",$C$5="SS",$C$5="S"),INDEX(INDIRECT($C$6),$B17,E$8),
IF(OR($C$5="N",$C$5="AP",$C$5="AT",$C$5="SP"),INDEX(INDIRECT($C$7),$B17,E$8)))</f>
        <v>0.06</v>
      </c>
      <c r="F17" s="161">
        <f t="shared" ca="1" si="2"/>
        <v>7.0000000000000007E-2</v>
      </c>
      <c r="G17" s="160">
        <f ca="1">IF(OR($C$5="P",$C$5="SS",$C$5="S"),INDEX(INDIRECT($C$6),$B17,G$8),
IF(OR($C$5="N",$C$5="AP",$C$5="AT",$C$5="SP"),INDEX(INDIRECT($C$7),$B17,G$8)))</f>
        <v>7.4999999999999997E-2</v>
      </c>
      <c r="H17" s="159">
        <f t="shared" ca="1" si="3"/>
        <v>0.09</v>
      </c>
      <c r="I17" s="159">
        <f t="shared" ca="1" si="3"/>
        <v>0.1</v>
      </c>
    </row>
    <row r="18" spans="1:26" x14ac:dyDescent="0.2">
      <c r="A18" s="158" t="s">
        <v>4</v>
      </c>
      <c r="B18" s="158">
        <v>10</v>
      </c>
      <c r="C18" s="162">
        <f ca="1">IF(OR($C$5="P",$C$5="SS",$C$5="S"),INDEX(INDIRECT($C$6),$B18,C$8),
IF(OR($C$5="N",$C$5="AP",$C$5="AT",$C$5="SP"),INDEX(INDIRECT($C$7),$B18,C$8)))</f>
        <v>20.5</v>
      </c>
      <c r="D18" s="162">
        <f ca="1">IF(OR($C$5="P",$C$5="SS",$C$5="S"),INDEX(INDIRECT($C$6),$B18,D$8),
IF(OR($C$5="N",$C$5="AP",$C$5="AT",$C$5="SP"),INDEX(INDIRECT($C$7),$B18,D$8)))</f>
        <v>21.5</v>
      </c>
      <c r="E18" s="163">
        <f ca="1">IF(OR($C$5="P",$C$5="SS",$C$5="S"),INDEX(INDIRECT($C$6),$B18,E$8),
IF(OR($C$5="N",$C$5="AP",$C$5="AT",$C$5="SP"),INDEX(INDIRECT($C$7),$B18,E$8)))</f>
        <v>22.5</v>
      </c>
      <c r="F18" s="164">
        <f t="shared" ca="1" si="2"/>
        <v>23</v>
      </c>
      <c r="G18" s="163">
        <f ca="1">IF(OR($C$5="P",$C$5="SS",$C$5="S"),INDEX(INDIRECT($C$6),$B18,G$8),
IF(OR($C$5="N",$C$5="AP",$C$5="AT",$C$5="SP"),INDEX(INDIRECT($C$7),$B18,G$8)))</f>
        <v>24</v>
      </c>
      <c r="H18" s="162">
        <f t="shared" ca="1" si="3"/>
        <v>25</v>
      </c>
      <c r="I18" s="162">
        <f t="shared" ca="1" si="3"/>
        <v>26.5</v>
      </c>
    </row>
    <row r="19" spans="1:26" x14ac:dyDescent="0.2">
      <c r="A19" s="158" t="s">
        <v>14</v>
      </c>
      <c r="B19" s="158">
        <v>11</v>
      </c>
      <c r="C19" s="162">
        <f ca="1">IF(OR($C$5="P",$C$5="SS",$C$5="S"),INDEX(INDIRECT($C$6),$B19,C$8),
IF(OR($C$5="N",$C$5="AP",$C$5="AT",$C$5="SP"),INDEX(INDIRECT($C$7),$B19,C$8)))</f>
        <v>9.5</v>
      </c>
      <c r="D19" s="162">
        <f ca="1">IF(OR($C$5="P",$C$5="SS",$C$5="S"),INDEX(INDIRECT($C$6),$B19,D$8),
IF(OR($C$5="N",$C$5="AP",$C$5="AT",$C$5="SP"),INDEX(INDIRECT($C$7),$B19,D$8)))</f>
        <v>10</v>
      </c>
      <c r="E19" s="163">
        <f ca="1">IF(OR($C$5="P",$C$5="SS",$C$5="S"),INDEX(INDIRECT($C$6),$B19,E$8),
IF(OR($C$5="N",$C$5="AP",$C$5="AT",$C$5="SP"),INDEX(INDIRECT($C$7),$B19,E$8)))</f>
        <v>11</v>
      </c>
      <c r="F19" s="164">
        <f t="shared" ca="1" si="2"/>
        <v>11</v>
      </c>
      <c r="G19" s="163">
        <f ca="1">IF(OR($C$5="P",$C$5="SS",$C$5="S"),INDEX(INDIRECT($C$6),$B19,G$8),
IF(OR($C$5="N",$C$5="AP",$C$5="AT",$C$5="SP"),INDEX(INDIRECT($C$7),$B19,G$8)))</f>
        <v>11.5</v>
      </c>
      <c r="H19" s="162">
        <f t="shared" ca="1" si="3"/>
        <v>12.5</v>
      </c>
      <c r="I19" s="162">
        <f t="shared" ca="1" si="3"/>
        <v>13</v>
      </c>
    </row>
    <row r="20" spans="1:26" x14ac:dyDescent="0.2">
      <c r="A20" s="158" t="s">
        <v>0</v>
      </c>
      <c r="B20" s="158">
        <v>12</v>
      </c>
      <c r="C20" s="162">
        <f t="shared" ref="C20:I20" ca="1" si="4">IF(OR($C$5="P",$C$5="SS",$C$5="S"),INDEX(INDIRECT($C$6),$B20,C$8),
IF(OR($C$5="N",$C$5="AP",$C$5="SP"),"",IF($C$5="AT",INDEX(INDIRECT($C$7),$B20,C$8))))</f>
        <v>28</v>
      </c>
      <c r="D20" s="162">
        <f t="shared" ca="1" si="4"/>
        <v>28.5</v>
      </c>
      <c r="E20" s="163">
        <f t="shared" ca="1" si="4"/>
        <v>29</v>
      </c>
      <c r="F20" s="164">
        <f t="shared" ca="1" si="4"/>
        <v>29.5</v>
      </c>
      <c r="G20" s="163">
        <f t="shared" ca="1" si="4"/>
        <v>29.5</v>
      </c>
      <c r="H20" s="162">
        <f t="shared" ca="1" si="4"/>
        <v>30</v>
      </c>
      <c r="I20" s="162">
        <f t="shared" ca="1" si="4"/>
        <v>30.5</v>
      </c>
    </row>
    <row r="21" spans="1:26" x14ac:dyDescent="0.2">
      <c r="A21" s="158" t="s">
        <v>220</v>
      </c>
      <c r="B21" s="158">
        <v>13</v>
      </c>
      <c r="C21" s="165">
        <f ca="1">IF(OR($C$5="P",$C$5="SS",$C$5="S"),INDEX(INDIRECT($C$7),1,C$8),
IF(OR($C$5="N",$C$5="AP",$C$5="SP"),INDEX(INDIRECT($C$7),$B20,C$8),
IF($C$5="AT",INDEX(INDIRECT($C$7),$B21,C$8))))</f>
        <v>44000</v>
      </c>
      <c r="D21" s="165">
        <f t="shared" ref="D21:I21" ca="1" si="5">IF(OR($C$5="P",$C$5="SS",$C$5="S"),INDEX(INDIRECT($C$7),1,D$8),
IF(OR($C$5="N",$C$5="AP",$C$5="SP"),INDEX(INDIRECT($C$7),$B20,D$8),
IF($C$5="AT",INDEX(INDIRECT($C$7),$B21,D$8))))</f>
        <v>47000</v>
      </c>
      <c r="E21" s="165">
        <f t="shared" ca="1" si="5"/>
        <v>50000</v>
      </c>
      <c r="F21" s="166">
        <f t="shared" ca="1" si="5"/>
        <v>51500</v>
      </c>
      <c r="G21" s="165">
        <f t="shared" ca="1" si="5"/>
        <v>53000</v>
      </c>
      <c r="H21" s="165">
        <f t="shared" ca="1" si="5"/>
        <v>56500</v>
      </c>
      <c r="I21" s="165">
        <f t="shared" ca="1" si="5"/>
        <v>60000</v>
      </c>
    </row>
    <row r="26" spans="1:26" s="155" customFormat="1" ht="15" x14ac:dyDescent="0.25">
      <c r="A26" s="155" t="s">
        <v>232</v>
      </c>
    </row>
    <row r="28" spans="1:26" ht="15" x14ac:dyDescent="0.25">
      <c r="A28" s="171" t="s">
        <v>228</v>
      </c>
      <c r="B28" s="171"/>
      <c r="C28" s="171"/>
      <c r="D28" s="171" t="s">
        <v>230</v>
      </c>
      <c r="E28" s="171" t="s">
        <v>229</v>
      </c>
      <c r="F28" s="171"/>
      <c r="G28" s="171"/>
      <c r="H28" s="171"/>
      <c r="I28" s="171" t="s">
        <v>235</v>
      </c>
    </row>
    <row r="29" spans="1:26" x14ac:dyDescent="0.2">
      <c r="A29" s="167" t="str">
        <f>IF(Dashboard!D$15=0,"",Dashboard!D$15)</f>
        <v>College Town Primary School</v>
      </c>
      <c r="B29" s="168">
        <v>1</v>
      </c>
      <c r="C29" s="168" t="s">
        <v>227</v>
      </c>
      <c r="D29" s="168" t="s">
        <v>226</v>
      </c>
      <c r="E29" s="169" t="str">
        <f>IF(Dashboard!D$17=0,"",Dashboard!D$17)</f>
        <v>Primary</v>
      </c>
      <c r="F29" s="167" t="str">
        <f>IF(Dashboard!D$18=0,"",Dashboard!D$18)</f>
        <v>South East</v>
      </c>
      <c r="G29" s="167">
        <f>IF(Dashboard!D$19=0,"",Dashboard!D$19)</f>
        <v>517</v>
      </c>
      <c r="H29" s="167">
        <f>IF(Dashboard!D$20=0,"",Dashboard!D$20)</f>
        <v>1.2E-2</v>
      </c>
      <c r="I29" s="168" t="str">
        <f>IF(F29="","",IF(OR(F29="Inner London",F29="Outer London"),"in London","outside London"))</f>
        <v>outside London</v>
      </c>
      <c r="J29" s="168" t="str">
        <f>IF(AND(E29="Primary",G29&lt;=$X$30),"very small",IF(AND(E29="Primary",G29&lt;=$Y$30,G29&gt;$X$30),"small",IF(AND(E29="Primary",G29&gt;$Y$30,G29&lt;=$Z$30),"medium",IF(AND(E29="Primary",G29&gt;$Z$30),"large",
IF(AND(E29="Secondary with sixth form",G29&lt;=$Y$31),"small",IF(AND(E29="Secondary with sixth form",G29&gt;$Y$31,G29&lt;=$Z$31),"medium",IF(AND(E29="Secondary with sixth form",G29&gt;$Z$31),"large",
IF(AND(E29="Secondary without sixth form",G29&lt;=$Y$32),"small",IF(AND(E29="Secondary without sixth form",G29&gt;$Y$32,G29&lt;=$Z$32),"medium",IF(AND(E29="Secondary without sixth form",G29&gt;$Z$32),"large",""))))))))))</f>
        <v>large</v>
      </c>
      <c r="K29" s="168" t="str">
        <f>IF(AND(E29="Primary",H29&lt;=$X$35),"low levels of FSM",IF(AND(E29="Primary",H29&gt;$X$35,H29&lt;=$Y$35),"medium levels of FSM",IF(AND(E29="Primary",H29&gt;$Y$35),"high levels of FSM",
IF(AND(E29="Secondary with sixth form",H29&lt;=$X$36),"low levels of FSM",IF(AND(E29="Secondary with sixth form",H29&gt;$X$36,H29&lt;=$Y$36),"medium levels of FSM",IF(AND(E29="Secondary with sixth form",H29&gt;$Y$36),"high levels of FSM",
IF(AND(E29="Secondary without sixth form",H29&lt;=$X$37),"low levels of FSM",IF(AND(E29="Secondary without sixth form",H29&gt;$X$37,H29&lt;=$Y$37),"medium levels of FSM",IF(AND(E29="Secondary without sixth form",H29&gt;$Y$37),"high levels of FSM","")))))))))</f>
        <v>low levels of FSM</v>
      </c>
      <c r="L29" s="168" t="str">
        <f>IF(E29="Primary","a primary school",IF(E29="Secondary with sixth form","a secondary school with a sixth form",IF(E29="Secondary without sixth form","a secondary school without a sixth form",IF(E29="Special","a special school",IF(E29="Alternative provision","an alternative provision school",IF(E29="All-through","an all-through school",IF(E29="Nursery","a nursery school","")))))))</f>
        <v>a primary school</v>
      </c>
      <c r="M29" s="168" t="str">
        <f>IF(AND(E29="Primary",J29="very small"),$X$30&amp;" or fewer pupils",
IF(AND(E29="Primary",J29="small"),"between "&amp;$X$30+1&amp;" and "&amp;$Y$30&amp;" pupils",
IF(AND(E29="Primary",J29="medium"),"between "&amp;$Y$30+1&amp;" and "&amp;$Z$30&amp;" pupils",
IF(AND(E29="Primary",J29="large"),"more than "&amp;$Z$30&amp;" pupils",
IF(AND(E29="Secondary with sixth form",J29="small"),$Y$31&amp;" or fewer pupils",
IF(AND(E29="Secondary with sixth form",J29="medium"),"between "&amp;$Y$31+1&amp;" and "&amp;$Z$31&amp;" pupils",
IF(AND(E29="Secondary with sixth form",J29="large"),"more than "&amp;$Z$31&amp;" pupils",
IF(AND(E29="Secondary without sixth form",J29="small"),$Y$32&amp;" or fewer pupils",
IF(AND(E29="Secondary without sixth form",J29="medium"),"between "&amp;$Y$32+1&amp;" and "&amp;$Z$32&amp;" pupils",
IF(AND(E29="Secondary without sixth form",J29="large"),"more than "&amp;$Z$32&amp;" pupils",""))))))))))</f>
        <v>more than 385 pupils</v>
      </c>
      <c r="N29" s="168" t="str">
        <f>IF(AND(E29="Primary",K29="low levels of FSM"),"less than "&amp;$Z$35&amp;" of pupils",
IF(AND(E29="Primary",K29="medium levels of FSM"),"between "&amp;$Z$35&amp;" and "&amp;$AA$35&amp;" of pupils",
IF(AND(E29="Primary",K29="high levels of FSM"),"more than "&amp;$AA$35&amp;" of pupils",
IF(AND(E29="Secondary with sixth form",K29="low levels of FSM"),"less than "&amp;$Z$36&amp;" of pupils",
IF(AND(E29="Secondary with sixth form",K29="medium levels of FSM"),"between "&amp;$Z$36&amp;" and "&amp;$AA$36&amp;" of pupils",
IF(AND(E29="Secondary with sixth form",K29="high levels of FSM"),"more than "&amp;$AA$36&amp;" of pupils",
IF(AND(E29="Secondary without sixth form",K29="low levels of FSM"),"less than "&amp;$Z$37&amp;" of pupils",
IF(AND(E29="Secondary without sixth form",K29="medium levels of FSM"),"between "&amp;$Z$37&amp;" and "&amp;$AA$37&amp;" of pupils",
IF(AND(E29="Secondary without sixth form",K29="high levels of FSM"),"more than "&amp;$AA$37&amp;" of pupils","")))))))))</f>
        <v>less than 5% of pupils</v>
      </c>
      <c r="W29" s="168"/>
      <c r="X29" s="168" t="s">
        <v>136</v>
      </c>
      <c r="Y29" s="168" t="s">
        <v>138</v>
      </c>
      <c r="Z29" s="168" t="s">
        <v>139</v>
      </c>
    </row>
    <row r="30" spans="1:26" x14ac:dyDescent="0.2">
      <c r="A30" s="209"/>
      <c r="B30" s="210"/>
      <c r="C30" s="210"/>
      <c r="D30" s="210"/>
      <c r="E30" s="209"/>
      <c r="F30" s="209"/>
      <c r="G30" s="209"/>
      <c r="H30" s="209"/>
      <c r="I30" s="210"/>
      <c r="J30" s="210"/>
      <c r="K30" s="210"/>
      <c r="L30" s="210"/>
      <c r="M30" s="210"/>
      <c r="N30" s="210"/>
      <c r="W30" s="168" t="s">
        <v>21</v>
      </c>
      <c r="X30" s="168">
        <v>100</v>
      </c>
      <c r="Y30" s="168">
        <v>175</v>
      </c>
      <c r="Z30" s="168">
        <v>385</v>
      </c>
    </row>
    <row r="31" spans="1:26" x14ac:dyDescent="0.2">
      <c r="A31" s="209"/>
      <c r="B31" s="210"/>
      <c r="C31" s="210"/>
      <c r="D31" s="210"/>
      <c r="E31" s="209"/>
      <c r="F31" s="209"/>
      <c r="G31" s="209"/>
      <c r="H31" s="209"/>
      <c r="I31" s="210"/>
      <c r="J31" s="210"/>
      <c r="K31" s="210"/>
      <c r="L31" s="210"/>
      <c r="M31" s="210"/>
      <c r="N31" s="210"/>
      <c r="W31" s="168" t="s">
        <v>131</v>
      </c>
      <c r="X31" s="168"/>
      <c r="Y31" s="168">
        <v>770</v>
      </c>
      <c r="Z31" s="168">
        <v>1300</v>
      </c>
    </row>
    <row r="32" spans="1:26" x14ac:dyDescent="0.2">
      <c r="A32" s="209"/>
      <c r="B32" s="210"/>
      <c r="C32" s="210"/>
      <c r="D32" s="210"/>
      <c r="E32" s="209"/>
      <c r="F32" s="209"/>
      <c r="G32" s="209"/>
      <c r="H32" s="209"/>
      <c r="I32" s="210"/>
      <c r="J32" s="210"/>
      <c r="K32" s="210"/>
      <c r="L32" s="210"/>
      <c r="M32" s="210"/>
      <c r="N32" s="210"/>
      <c r="W32" s="168" t="s">
        <v>132</v>
      </c>
      <c r="X32" s="168"/>
      <c r="Y32" s="168">
        <v>485</v>
      </c>
      <c r="Z32" s="168">
        <v>935</v>
      </c>
    </row>
    <row r="33" spans="1:16384" x14ac:dyDescent="0.2">
      <c r="B33" s="210"/>
      <c r="C33" s="210"/>
      <c r="D33" s="210"/>
      <c r="E33" s="209"/>
      <c r="F33" s="209"/>
      <c r="G33" s="209"/>
      <c r="H33" s="209"/>
      <c r="I33" s="210"/>
      <c r="J33" s="210"/>
      <c r="K33" s="210"/>
      <c r="L33" s="210"/>
      <c r="M33" s="210"/>
      <c r="N33" s="210"/>
    </row>
    <row r="34" spans="1:16384" x14ac:dyDescent="0.2">
      <c r="B34" s="210"/>
      <c r="C34" s="210"/>
      <c r="D34" s="210"/>
      <c r="E34" s="209"/>
      <c r="F34" s="209"/>
      <c r="G34" s="209"/>
      <c r="H34" s="209"/>
      <c r="I34" s="210"/>
      <c r="J34" s="210"/>
      <c r="K34" s="210"/>
      <c r="L34" s="210"/>
      <c r="M34" s="210"/>
      <c r="N34" s="210"/>
      <c r="O34" s="170"/>
      <c r="P34" s="170"/>
      <c r="Q34" s="170"/>
      <c r="W34" s="168"/>
      <c r="X34" s="168" t="s">
        <v>236</v>
      </c>
      <c r="Y34" s="168" t="s">
        <v>139</v>
      </c>
    </row>
    <row r="35" spans="1:16384" x14ac:dyDescent="0.2">
      <c r="B35" s="210"/>
      <c r="C35" s="210"/>
      <c r="D35" s="210"/>
      <c r="E35" s="209"/>
      <c r="F35" s="209"/>
      <c r="G35" s="209"/>
      <c r="H35" s="209"/>
      <c r="I35" s="210"/>
      <c r="J35" s="210"/>
      <c r="K35" s="210"/>
      <c r="L35" s="210"/>
      <c r="M35" s="210"/>
      <c r="N35" s="210"/>
      <c r="W35" s="168" t="s">
        <v>21</v>
      </c>
      <c r="X35" s="168">
        <v>0.05</v>
      </c>
      <c r="Y35" s="168">
        <v>0.18</v>
      </c>
      <c r="Z35" s="182" t="str">
        <f t="shared" ref="Z35:AA37" si="6">(X35*100)&amp;"%"</f>
        <v>5%</v>
      </c>
      <c r="AA35" s="182" t="str">
        <f t="shared" si="6"/>
        <v>18%</v>
      </c>
    </row>
    <row r="36" spans="1:16384" x14ac:dyDescent="0.2">
      <c r="B36" s="210"/>
      <c r="C36" s="210"/>
      <c r="D36" s="210"/>
      <c r="E36" s="209"/>
      <c r="F36" s="209"/>
      <c r="G36" s="209"/>
      <c r="H36" s="209"/>
      <c r="I36" s="210"/>
      <c r="J36" s="210"/>
      <c r="K36" s="210"/>
      <c r="L36" s="210"/>
      <c r="M36" s="210"/>
      <c r="N36" s="210"/>
      <c r="W36" s="168" t="s">
        <v>131</v>
      </c>
      <c r="X36" s="168">
        <v>0.06</v>
      </c>
      <c r="Y36" s="168">
        <v>0.16500000000000001</v>
      </c>
      <c r="Z36" s="182" t="str">
        <f t="shared" si="6"/>
        <v>6%</v>
      </c>
      <c r="AA36" s="182" t="str">
        <f t="shared" si="6"/>
        <v>16.5%</v>
      </c>
    </row>
    <row r="37" spans="1:16384" x14ac:dyDescent="0.2">
      <c r="B37" s="210"/>
      <c r="C37" s="210"/>
      <c r="D37" s="210"/>
      <c r="E37" s="209"/>
      <c r="F37" s="209"/>
      <c r="G37" s="209"/>
      <c r="H37" s="209"/>
      <c r="I37" s="210"/>
      <c r="J37" s="210"/>
      <c r="K37" s="210"/>
      <c r="L37" s="210"/>
      <c r="M37" s="210"/>
      <c r="N37" s="210"/>
      <c r="W37" s="168" t="s">
        <v>132</v>
      </c>
      <c r="X37" s="168">
        <v>0.08</v>
      </c>
      <c r="Y37" s="168">
        <v>0.215</v>
      </c>
      <c r="Z37" s="182" t="str">
        <f t="shared" si="6"/>
        <v>8%</v>
      </c>
      <c r="AA37" s="182" t="str">
        <f t="shared" si="6"/>
        <v>21.5%</v>
      </c>
    </row>
    <row r="38" spans="1:16384" x14ac:dyDescent="0.2">
      <c r="A38" s="209"/>
      <c r="B38" s="210"/>
      <c r="C38" s="210"/>
      <c r="D38" s="210"/>
      <c r="E38" s="209"/>
      <c r="F38" s="209"/>
      <c r="G38" s="209"/>
      <c r="H38" s="209"/>
      <c r="I38" s="210"/>
      <c r="J38" s="210"/>
      <c r="K38" s="210"/>
      <c r="L38" s="210"/>
      <c r="M38" s="210"/>
      <c r="N38" s="210"/>
    </row>
    <row r="39" spans="1:16384" x14ac:dyDescent="0.2">
      <c r="A39" s="209"/>
      <c r="B39" s="210"/>
      <c r="C39" s="210"/>
      <c r="D39" s="210"/>
      <c r="E39" s="209"/>
      <c r="F39" s="209"/>
      <c r="G39" s="209"/>
      <c r="H39" s="209"/>
      <c r="I39" s="210"/>
      <c r="J39" s="210"/>
      <c r="K39" s="210"/>
      <c r="L39" s="210"/>
      <c r="M39" s="210"/>
      <c r="N39" s="210"/>
    </row>
    <row r="43" spans="1:16384" ht="15" x14ac:dyDescent="0.25">
      <c r="A43" s="155" t="s">
        <v>233</v>
      </c>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5"/>
      <c r="BQ43" s="155"/>
      <c r="BR43" s="155"/>
      <c r="BS43" s="155"/>
      <c r="BT43" s="155"/>
      <c r="BU43" s="155"/>
      <c r="BV43" s="155"/>
      <c r="BW43" s="155"/>
      <c r="BX43" s="155"/>
      <c r="BY43" s="155"/>
      <c r="BZ43" s="155"/>
      <c r="CA43" s="155"/>
      <c r="CB43" s="155"/>
      <c r="CC43" s="155"/>
      <c r="CD43" s="155"/>
      <c r="CE43" s="155"/>
      <c r="CF43" s="155"/>
      <c r="CG43" s="155"/>
      <c r="CH43" s="155"/>
      <c r="CI43" s="155"/>
      <c r="CJ43" s="155"/>
      <c r="CK43" s="155"/>
      <c r="CL43" s="155"/>
      <c r="CM43" s="155"/>
      <c r="CN43" s="155"/>
      <c r="CO43" s="155"/>
      <c r="CP43" s="155"/>
      <c r="CQ43" s="155"/>
      <c r="CR43" s="155"/>
      <c r="CS43" s="155"/>
      <c r="CT43" s="155"/>
      <c r="CU43" s="155"/>
      <c r="CV43" s="155"/>
      <c r="CW43" s="155"/>
      <c r="CX43" s="155"/>
      <c r="CY43" s="155"/>
      <c r="CZ43" s="155"/>
      <c r="DA43" s="155"/>
      <c r="DB43" s="155"/>
      <c r="DC43" s="155"/>
      <c r="DD43" s="155"/>
      <c r="DE43" s="155"/>
      <c r="DF43" s="155"/>
      <c r="DG43" s="155"/>
      <c r="DH43" s="155"/>
      <c r="DI43" s="155"/>
      <c r="DJ43" s="155"/>
      <c r="DK43" s="155"/>
      <c r="DL43" s="155"/>
      <c r="DM43" s="155"/>
      <c r="DN43" s="155"/>
      <c r="DO43" s="155"/>
      <c r="DP43" s="155"/>
      <c r="DQ43" s="155"/>
      <c r="DR43" s="155"/>
      <c r="DS43" s="155"/>
      <c r="DT43" s="155"/>
      <c r="DU43" s="155"/>
      <c r="DV43" s="155"/>
      <c r="DW43" s="155"/>
      <c r="DX43" s="155"/>
      <c r="DY43" s="155"/>
      <c r="DZ43" s="155"/>
      <c r="EA43" s="155"/>
      <c r="EB43" s="155"/>
      <c r="EC43" s="155"/>
      <c r="ED43" s="155"/>
      <c r="EE43" s="155"/>
      <c r="EF43" s="155"/>
      <c r="EG43" s="155"/>
      <c r="EH43" s="155"/>
      <c r="EI43" s="155"/>
      <c r="EJ43" s="155"/>
      <c r="EK43" s="155"/>
      <c r="EL43" s="155"/>
      <c r="EM43" s="155"/>
      <c r="EN43" s="155"/>
      <c r="EO43" s="155"/>
      <c r="EP43" s="155"/>
      <c r="EQ43" s="155"/>
      <c r="ER43" s="155"/>
      <c r="ES43" s="155"/>
      <c r="ET43" s="155"/>
      <c r="EU43" s="155"/>
      <c r="EV43" s="155"/>
      <c r="EW43" s="155"/>
      <c r="EX43" s="155"/>
      <c r="EY43" s="155"/>
      <c r="EZ43" s="155"/>
      <c r="FA43" s="155"/>
      <c r="FB43" s="155"/>
      <c r="FC43" s="155"/>
      <c r="FD43" s="155"/>
      <c r="FE43" s="155"/>
      <c r="FF43" s="155"/>
      <c r="FG43" s="155"/>
      <c r="FH43" s="155"/>
      <c r="FI43" s="155"/>
      <c r="FJ43" s="155"/>
      <c r="FK43" s="155"/>
      <c r="FL43" s="155"/>
      <c r="FM43" s="155"/>
      <c r="FN43" s="155"/>
      <c r="FO43" s="155"/>
      <c r="FP43" s="155"/>
      <c r="FQ43" s="155"/>
      <c r="FR43" s="155"/>
      <c r="FS43" s="155"/>
      <c r="FT43" s="155"/>
      <c r="FU43" s="155"/>
      <c r="FV43" s="155"/>
      <c r="FW43" s="155"/>
      <c r="FX43" s="155"/>
      <c r="FY43" s="155"/>
      <c r="FZ43" s="155"/>
      <c r="GA43" s="155"/>
      <c r="GB43" s="155"/>
      <c r="GC43" s="155"/>
      <c r="GD43" s="155"/>
      <c r="GE43" s="155"/>
      <c r="GF43" s="155"/>
      <c r="GG43" s="155"/>
      <c r="GH43" s="155"/>
      <c r="GI43" s="155"/>
      <c r="GJ43" s="155"/>
      <c r="GK43" s="155"/>
      <c r="GL43" s="155"/>
      <c r="GM43" s="155"/>
      <c r="GN43" s="155"/>
      <c r="GO43" s="155"/>
      <c r="GP43" s="155"/>
      <c r="GQ43" s="155"/>
      <c r="GR43" s="155"/>
      <c r="GS43" s="155"/>
      <c r="GT43" s="155"/>
      <c r="GU43" s="155"/>
      <c r="GV43" s="155"/>
      <c r="GW43" s="155"/>
      <c r="GX43" s="155"/>
      <c r="GY43" s="155"/>
      <c r="GZ43" s="155"/>
      <c r="HA43" s="155"/>
      <c r="HB43" s="155"/>
      <c r="HC43" s="155"/>
      <c r="HD43" s="155"/>
      <c r="HE43" s="155"/>
      <c r="HF43" s="155"/>
      <c r="HG43" s="155"/>
      <c r="HH43" s="155"/>
      <c r="HI43" s="155"/>
      <c r="HJ43" s="155"/>
      <c r="HK43" s="155"/>
      <c r="HL43" s="155"/>
      <c r="HM43" s="155"/>
      <c r="HN43" s="155"/>
      <c r="HO43" s="155"/>
      <c r="HP43" s="155"/>
      <c r="HQ43" s="155"/>
      <c r="HR43" s="155"/>
      <c r="HS43" s="155"/>
      <c r="HT43" s="155"/>
      <c r="HU43" s="155"/>
      <c r="HV43" s="155"/>
      <c r="HW43" s="155"/>
      <c r="HX43" s="155"/>
      <c r="HY43" s="155"/>
      <c r="HZ43" s="155"/>
      <c r="IA43" s="155"/>
      <c r="IB43" s="155"/>
      <c r="IC43" s="155"/>
      <c r="ID43" s="155"/>
      <c r="IE43" s="155"/>
      <c r="IF43" s="155"/>
      <c r="IG43" s="155"/>
      <c r="IH43" s="155"/>
      <c r="II43" s="155"/>
      <c r="IJ43" s="155"/>
      <c r="IK43" s="155"/>
      <c r="IL43" s="155"/>
      <c r="IM43" s="155"/>
      <c r="IN43" s="155"/>
      <c r="IO43" s="155"/>
      <c r="IP43" s="155"/>
      <c r="IQ43" s="155"/>
      <c r="IR43" s="155"/>
      <c r="IS43" s="155"/>
      <c r="IT43" s="155"/>
      <c r="IU43" s="155"/>
      <c r="IV43" s="155"/>
      <c r="IW43" s="155"/>
      <c r="IX43" s="155"/>
      <c r="IY43" s="155"/>
      <c r="IZ43" s="155"/>
      <c r="JA43" s="155"/>
      <c r="JB43" s="155"/>
      <c r="JC43" s="155"/>
      <c r="JD43" s="155"/>
      <c r="JE43" s="155"/>
      <c r="JF43" s="155"/>
      <c r="JG43" s="155"/>
      <c r="JH43" s="155"/>
      <c r="JI43" s="155"/>
      <c r="JJ43" s="155"/>
      <c r="JK43" s="155"/>
      <c r="JL43" s="155"/>
      <c r="JM43" s="155"/>
      <c r="JN43" s="155"/>
      <c r="JO43" s="155"/>
      <c r="JP43" s="155"/>
      <c r="JQ43" s="155"/>
      <c r="JR43" s="155"/>
      <c r="JS43" s="155"/>
      <c r="JT43" s="155"/>
      <c r="JU43" s="155"/>
      <c r="JV43" s="155"/>
      <c r="JW43" s="155"/>
      <c r="JX43" s="155"/>
      <c r="JY43" s="155"/>
      <c r="JZ43" s="155"/>
      <c r="KA43" s="155"/>
      <c r="KB43" s="155"/>
      <c r="KC43" s="155"/>
      <c r="KD43" s="155"/>
      <c r="KE43" s="155"/>
      <c r="KF43" s="155"/>
      <c r="KG43" s="155"/>
      <c r="KH43" s="155"/>
      <c r="KI43" s="155"/>
      <c r="KJ43" s="155"/>
      <c r="KK43" s="155"/>
      <c r="KL43" s="155"/>
      <c r="KM43" s="155"/>
      <c r="KN43" s="155"/>
      <c r="KO43" s="155"/>
      <c r="KP43" s="155"/>
      <c r="KQ43" s="155"/>
      <c r="KR43" s="155"/>
      <c r="KS43" s="155"/>
      <c r="KT43" s="155"/>
      <c r="KU43" s="155"/>
      <c r="KV43" s="155"/>
      <c r="KW43" s="155"/>
      <c r="KX43" s="155"/>
      <c r="KY43" s="155"/>
      <c r="KZ43" s="155"/>
      <c r="LA43" s="155"/>
      <c r="LB43" s="155"/>
      <c r="LC43" s="155"/>
      <c r="LD43" s="155"/>
      <c r="LE43" s="155"/>
      <c r="LF43" s="155"/>
      <c r="LG43" s="155"/>
      <c r="LH43" s="155"/>
      <c r="LI43" s="155"/>
      <c r="LJ43" s="155"/>
      <c r="LK43" s="155"/>
      <c r="LL43" s="155"/>
      <c r="LM43" s="155"/>
      <c r="LN43" s="155"/>
      <c r="LO43" s="155"/>
      <c r="LP43" s="155"/>
      <c r="LQ43" s="155"/>
      <c r="LR43" s="155"/>
      <c r="LS43" s="155"/>
      <c r="LT43" s="155"/>
      <c r="LU43" s="155"/>
      <c r="LV43" s="155"/>
      <c r="LW43" s="155"/>
      <c r="LX43" s="155"/>
      <c r="LY43" s="155"/>
      <c r="LZ43" s="155"/>
      <c r="MA43" s="155"/>
      <c r="MB43" s="155"/>
      <c r="MC43" s="155"/>
      <c r="MD43" s="155"/>
      <c r="ME43" s="155"/>
      <c r="MF43" s="155"/>
      <c r="MG43" s="155"/>
      <c r="MH43" s="155"/>
      <c r="MI43" s="155"/>
      <c r="MJ43" s="155"/>
      <c r="MK43" s="155"/>
      <c r="ML43" s="155"/>
      <c r="MM43" s="155"/>
      <c r="MN43" s="155"/>
      <c r="MO43" s="155"/>
      <c r="MP43" s="155"/>
      <c r="MQ43" s="155"/>
      <c r="MR43" s="155"/>
      <c r="MS43" s="155"/>
      <c r="MT43" s="155"/>
      <c r="MU43" s="155"/>
      <c r="MV43" s="155"/>
      <c r="MW43" s="155"/>
      <c r="MX43" s="155"/>
      <c r="MY43" s="155"/>
      <c r="MZ43" s="155"/>
      <c r="NA43" s="155"/>
      <c r="NB43" s="155"/>
      <c r="NC43" s="155"/>
      <c r="ND43" s="155"/>
      <c r="NE43" s="155"/>
      <c r="NF43" s="155"/>
      <c r="NG43" s="155"/>
      <c r="NH43" s="155"/>
      <c r="NI43" s="155"/>
      <c r="NJ43" s="155"/>
      <c r="NK43" s="155"/>
      <c r="NL43" s="155"/>
      <c r="NM43" s="155"/>
      <c r="NN43" s="155"/>
      <c r="NO43" s="155"/>
      <c r="NP43" s="155"/>
      <c r="NQ43" s="155"/>
      <c r="NR43" s="155"/>
      <c r="NS43" s="155"/>
      <c r="NT43" s="155"/>
      <c r="NU43" s="155"/>
      <c r="NV43" s="155"/>
      <c r="NW43" s="155"/>
      <c r="NX43" s="155"/>
      <c r="NY43" s="155"/>
      <c r="NZ43" s="155"/>
      <c r="OA43" s="155"/>
      <c r="OB43" s="155"/>
      <c r="OC43" s="155"/>
      <c r="OD43" s="155"/>
      <c r="OE43" s="155"/>
      <c r="OF43" s="155"/>
      <c r="OG43" s="155"/>
      <c r="OH43" s="155"/>
      <c r="OI43" s="155"/>
      <c r="OJ43" s="155"/>
      <c r="OK43" s="155"/>
      <c r="OL43" s="155"/>
      <c r="OM43" s="155"/>
      <c r="ON43" s="155"/>
      <c r="OO43" s="155"/>
      <c r="OP43" s="155"/>
      <c r="OQ43" s="155"/>
      <c r="OR43" s="155"/>
      <c r="OS43" s="155"/>
      <c r="OT43" s="155"/>
      <c r="OU43" s="155"/>
      <c r="OV43" s="155"/>
      <c r="OW43" s="155"/>
      <c r="OX43" s="155"/>
      <c r="OY43" s="155"/>
      <c r="OZ43" s="155"/>
      <c r="PA43" s="155"/>
      <c r="PB43" s="155"/>
      <c r="PC43" s="155"/>
      <c r="PD43" s="155"/>
      <c r="PE43" s="155"/>
      <c r="PF43" s="155"/>
      <c r="PG43" s="155"/>
      <c r="PH43" s="155"/>
      <c r="PI43" s="155"/>
      <c r="PJ43" s="155"/>
      <c r="PK43" s="155"/>
      <c r="PL43" s="155"/>
      <c r="PM43" s="155"/>
      <c r="PN43" s="155"/>
      <c r="PO43" s="155"/>
      <c r="PP43" s="155"/>
      <c r="PQ43" s="155"/>
      <c r="PR43" s="155"/>
      <c r="PS43" s="155"/>
      <c r="PT43" s="155"/>
      <c r="PU43" s="155"/>
      <c r="PV43" s="155"/>
      <c r="PW43" s="155"/>
      <c r="PX43" s="155"/>
      <c r="PY43" s="155"/>
      <c r="PZ43" s="155"/>
      <c r="QA43" s="155"/>
      <c r="QB43" s="155"/>
      <c r="QC43" s="155"/>
      <c r="QD43" s="155"/>
      <c r="QE43" s="155"/>
      <c r="QF43" s="155"/>
      <c r="QG43" s="155"/>
      <c r="QH43" s="155"/>
      <c r="QI43" s="155"/>
      <c r="QJ43" s="155"/>
      <c r="QK43" s="155"/>
      <c r="QL43" s="155"/>
      <c r="QM43" s="155"/>
      <c r="QN43" s="155"/>
      <c r="QO43" s="155"/>
      <c r="QP43" s="155"/>
      <c r="QQ43" s="155"/>
      <c r="QR43" s="155"/>
      <c r="QS43" s="155"/>
      <c r="QT43" s="155"/>
      <c r="QU43" s="155"/>
      <c r="QV43" s="155"/>
      <c r="QW43" s="155"/>
      <c r="QX43" s="155"/>
      <c r="QY43" s="155"/>
      <c r="QZ43" s="155"/>
      <c r="RA43" s="155"/>
      <c r="RB43" s="155"/>
      <c r="RC43" s="155"/>
      <c r="RD43" s="155"/>
      <c r="RE43" s="155"/>
      <c r="RF43" s="155"/>
      <c r="RG43" s="155"/>
      <c r="RH43" s="155"/>
      <c r="RI43" s="155"/>
      <c r="RJ43" s="155"/>
      <c r="RK43" s="155"/>
      <c r="RL43" s="155"/>
      <c r="RM43" s="155"/>
      <c r="RN43" s="155"/>
      <c r="RO43" s="155"/>
      <c r="RP43" s="155"/>
      <c r="RQ43" s="155"/>
      <c r="RR43" s="155"/>
      <c r="RS43" s="155"/>
      <c r="RT43" s="155"/>
      <c r="RU43" s="155"/>
      <c r="RV43" s="155"/>
      <c r="RW43" s="155"/>
      <c r="RX43" s="155"/>
      <c r="RY43" s="155"/>
      <c r="RZ43" s="155"/>
      <c r="SA43" s="155"/>
      <c r="SB43" s="155"/>
      <c r="SC43" s="155"/>
      <c r="SD43" s="155"/>
      <c r="SE43" s="155"/>
      <c r="SF43" s="155"/>
      <c r="SG43" s="155"/>
      <c r="SH43" s="155"/>
      <c r="SI43" s="155"/>
      <c r="SJ43" s="155"/>
      <c r="SK43" s="155"/>
      <c r="SL43" s="155"/>
      <c r="SM43" s="155"/>
      <c r="SN43" s="155"/>
      <c r="SO43" s="155"/>
      <c r="SP43" s="155"/>
      <c r="SQ43" s="155"/>
      <c r="SR43" s="155"/>
      <c r="SS43" s="155"/>
      <c r="ST43" s="155"/>
      <c r="SU43" s="155"/>
      <c r="SV43" s="155"/>
      <c r="SW43" s="155"/>
      <c r="SX43" s="155"/>
      <c r="SY43" s="155"/>
      <c r="SZ43" s="155"/>
      <c r="TA43" s="155"/>
      <c r="TB43" s="155"/>
      <c r="TC43" s="155"/>
      <c r="TD43" s="155"/>
      <c r="TE43" s="155"/>
      <c r="TF43" s="155"/>
      <c r="TG43" s="155"/>
      <c r="TH43" s="155"/>
      <c r="TI43" s="155"/>
      <c r="TJ43" s="155"/>
      <c r="TK43" s="155"/>
      <c r="TL43" s="155"/>
      <c r="TM43" s="155"/>
      <c r="TN43" s="155"/>
      <c r="TO43" s="155"/>
      <c r="TP43" s="155"/>
      <c r="TQ43" s="155"/>
      <c r="TR43" s="155"/>
      <c r="TS43" s="155"/>
      <c r="TT43" s="155"/>
      <c r="TU43" s="155"/>
      <c r="TV43" s="155"/>
      <c r="TW43" s="155"/>
      <c r="TX43" s="155"/>
      <c r="TY43" s="155"/>
      <c r="TZ43" s="155"/>
      <c r="UA43" s="155"/>
      <c r="UB43" s="155"/>
      <c r="UC43" s="155"/>
      <c r="UD43" s="155"/>
      <c r="UE43" s="155"/>
      <c r="UF43" s="155"/>
      <c r="UG43" s="155"/>
      <c r="UH43" s="155"/>
      <c r="UI43" s="155"/>
      <c r="UJ43" s="155"/>
      <c r="UK43" s="155"/>
      <c r="UL43" s="155"/>
      <c r="UM43" s="155"/>
      <c r="UN43" s="155"/>
      <c r="UO43" s="155"/>
      <c r="UP43" s="155"/>
      <c r="UQ43" s="155"/>
      <c r="UR43" s="155"/>
      <c r="US43" s="155"/>
      <c r="UT43" s="155"/>
      <c r="UU43" s="155"/>
      <c r="UV43" s="155"/>
      <c r="UW43" s="155"/>
      <c r="UX43" s="155"/>
      <c r="UY43" s="155"/>
      <c r="UZ43" s="155"/>
      <c r="VA43" s="155"/>
      <c r="VB43" s="155"/>
      <c r="VC43" s="155"/>
      <c r="VD43" s="155"/>
      <c r="VE43" s="155"/>
      <c r="VF43" s="155"/>
      <c r="VG43" s="155"/>
      <c r="VH43" s="155"/>
      <c r="VI43" s="155"/>
      <c r="VJ43" s="155"/>
      <c r="VK43" s="155"/>
      <c r="VL43" s="155"/>
      <c r="VM43" s="155"/>
      <c r="VN43" s="155"/>
      <c r="VO43" s="155"/>
      <c r="VP43" s="155"/>
      <c r="VQ43" s="155"/>
      <c r="VR43" s="155"/>
      <c r="VS43" s="155"/>
      <c r="VT43" s="155"/>
      <c r="VU43" s="155"/>
      <c r="VV43" s="155"/>
      <c r="VW43" s="155"/>
      <c r="VX43" s="155"/>
      <c r="VY43" s="155"/>
      <c r="VZ43" s="155"/>
      <c r="WA43" s="155"/>
      <c r="WB43" s="155"/>
      <c r="WC43" s="155"/>
      <c r="WD43" s="155"/>
      <c r="WE43" s="155"/>
      <c r="WF43" s="155"/>
      <c r="WG43" s="155"/>
      <c r="WH43" s="155"/>
      <c r="WI43" s="155"/>
      <c r="WJ43" s="155"/>
      <c r="WK43" s="155"/>
      <c r="WL43" s="155"/>
      <c r="WM43" s="155"/>
      <c r="WN43" s="155"/>
      <c r="WO43" s="155"/>
      <c r="WP43" s="155"/>
      <c r="WQ43" s="155"/>
      <c r="WR43" s="155"/>
      <c r="WS43" s="155"/>
      <c r="WT43" s="155"/>
      <c r="WU43" s="155"/>
      <c r="WV43" s="155"/>
      <c r="WW43" s="155"/>
      <c r="WX43" s="155"/>
      <c r="WY43" s="155"/>
      <c r="WZ43" s="155"/>
      <c r="XA43" s="155"/>
      <c r="XB43" s="155"/>
      <c r="XC43" s="155"/>
      <c r="XD43" s="155"/>
      <c r="XE43" s="155"/>
      <c r="XF43" s="155"/>
      <c r="XG43" s="155"/>
      <c r="XH43" s="155"/>
      <c r="XI43" s="155"/>
      <c r="XJ43" s="155"/>
      <c r="XK43" s="155"/>
      <c r="XL43" s="155"/>
      <c r="XM43" s="155"/>
      <c r="XN43" s="155"/>
      <c r="XO43" s="155"/>
      <c r="XP43" s="155"/>
      <c r="XQ43" s="155"/>
      <c r="XR43" s="155"/>
      <c r="XS43" s="155"/>
      <c r="XT43" s="155"/>
      <c r="XU43" s="155"/>
      <c r="XV43" s="155"/>
      <c r="XW43" s="155"/>
      <c r="XX43" s="155"/>
      <c r="XY43" s="155"/>
      <c r="XZ43" s="155"/>
      <c r="YA43" s="155"/>
      <c r="YB43" s="155"/>
      <c r="YC43" s="155"/>
      <c r="YD43" s="155"/>
      <c r="YE43" s="155"/>
      <c r="YF43" s="155"/>
      <c r="YG43" s="155"/>
      <c r="YH43" s="155"/>
      <c r="YI43" s="155"/>
      <c r="YJ43" s="155"/>
      <c r="YK43" s="155"/>
      <c r="YL43" s="155"/>
      <c r="YM43" s="155"/>
      <c r="YN43" s="155"/>
      <c r="YO43" s="155"/>
      <c r="YP43" s="155"/>
      <c r="YQ43" s="155"/>
      <c r="YR43" s="155"/>
      <c r="YS43" s="155"/>
      <c r="YT43" s="155"/>
      <c r="YU43" s="155"/>
      <c r="YV43" s="155"/>
      <c r="YW43" s="155"/>
      <c r="YX43" s="155"/>
      <c r="YY43" s="155"/>
      <c r="YZ43" s="155"/>
      <c r="ZA43" s="155"/>
      <c r="ZB43" s="155"/>
      <c r="ZC43" s="155"/>
      <c r="ZD43" s="155"/>
      <c r="ZE43" s="155"/>
      <c r="ZF43" s="155"/>
      <c r="ZG43" s="155"/>
      <c r="ZH43" s="155"/>
      <c r="ZI43" s="155"/>
      <c r="ZJ43" s="155"/>
      <c r="ZK43" s="155"/>
      <c r="ZL43" s="155"/>
      <c r="ZM43" s="155"/>
      <c r="ZN43" s="155"/>
      <c r="ZO43" s="155"/>
      <c r="ZP43" s="155"/>
      <c r="ZQ43" s="155"/>
      <c r="ZR43" s="155"/>
      <c r="ZS43" s="155"/>
      <c r="ZT43" s="155"/>
      <c r="ZU43" s="155"/>
      <c r="ZV43" s="155"/>
      <c r="ZW43" s="155"/>
      <c r="ZX43" s="155"/>
      <c r="ZY43" s="155"/>
      <c r="ZZ43" s="155"/>
      <c r="AAA43" s="155"/>
      <c r="AAB43" s="155"/>
      <c r="AAC43" s="155"/>
      <c r="AAD43" s="155"/>
      <c r="AAE43" s="155"/>
      <c r="AAF43" s="155"/>
      <c r="AAG43" s="155"/>
      <c r="AAH43" s="155"/>
      <c r="AAI43" s="155"/>
      <c r="AAJ43" s="155"/>
      <c r="AAK43" s="155"/>
      <c r="AAL43" s="155"/>
      <c r="AAM43" s="155"/>
      <c r="AAN43" s="155"/>
      <c r="AAO43" s="155"/>
      <c r="AAP43" s="155"/>
      <c r="AAQ43" s="155"/>
      <c r="AAR43" s="155"/>
      <c r="AAS43" s="155"/>
      <c r="AAT43" s="155"/>
      <c r="AAU43" s="155"/>
      <c r="AAV43" s="155"/>
      <c r="AAW43" s="155"/>
      <c r="AAX43" s="155"/>
      <c r="AAY43" s="155"/>
      <c r="AAZ43" s="155"/>
      <c r="ABA43" s="155"/>
      <c r="ABB43" s="155"/>
      <c r="ABC43" s="155"/>
      <c r="ABD43" s="155"/>
      <c r="ABE43" s="155"/>
      <c r="ABF43" s="155"/>
      <c r="ABG43" s="155"/>
      <c r="ABH43" s="155"/>
      <c r="ABI43" s="155"/>
      <c r="ABJ43" s="155"/>
      <c r="ABK43" s="155"/>
      <c r="ABL43" s="155"/>
      <c r="ABM43" s="155"/>
      <c r="ABN43" s="155"/>
      <c r="ABO43" s="155"/>
      <c r="ABP43" s="155"/>
      <c r="ABQ43" s="155"/>
      <c r="ABR43" s="155"/>
      <c r="ABS43" s="155"/>
      <c r="ABT43" s="155"/>
      <c r="ABU43" s="155"/>
      <c r="ABV43" s="155"/>
      <c r="ABW43" s="155"/>
      <c r="ABX43" s="155"/>
      <c r="ABY43" s="155"/>
      <c r="ABZ43" s="155"/>
      <c r="ACA43" s="155"/>
      <c r="ACB43" s="155"/>
      <c r="ACC43" s="155"/>
      <c r="ACD43" s="155"/>
      <c r="ACE43" s="155"/>
      <c r="ACF43" s="155"/>
      <c r="ACG43" s="155"/>
      <c r="ACH43" s="155"/>
      <c r="ACI43" s="155"/>
      <c r="ACJ43" s="155"/>
      <c r="ACK43" s="155"/>
      <c r="ACL43" s="155"/>
      <c r="ACM43" s="155"/>
      <c r="ACN43" s="155"/>
      <c r="ACO43" s="155"/>
      <c r="ACP43" s="155"/>
      <c r="ACQ43" s="155"/>
      <c r="ACR43" s="155"/>
      <c r="ACS43" s="155"/>
      <c r="ACT43" s="155"/>
      <c r="ACU43" s="155"/>
      <c r="ACV43" s="155"/>
      <c r="ACW43" s="155"/>
      <c r="ACX43" s="155"/>
      <c r="ACY43" s="155"/>
      <c r="ACZ43" s="155"/>
      <c r="ADA43" s="155"/>
      <c r="ADB43" s="155"/>
      <c r="ADC43" s="155"/>
      <c r="ADD43" s="155"/>
      <c r="ADE43" s="155"/>
      <c r="ADF43" s="155"/>
      <c r="ADG43" s="155"/>
      <c r="ADH43" s="155"/>
      <c r="ADI43" s="155"/>
      <c r="ADJ43" s="155"/>
      <c r="ADK43" s="155"/>
      <c r="ADL43" s="155"/>
      <c r="ADM43" s="155"/>
      <c r="ADN43" s="155"/>
      <c r="ADO43" s="155"/>
      <c r="ADP43" s="155"/>
      <c r="ADQ43" s="155"/>
      <c r="ADR43" s="155"/>
      <c r="ADS43" s="155"/>
      <c r="ADT43" s="155"/>
      <c r="ADU43" s="155"/>
      <c r="ADV43" s="155"/>
      <c r="ADW43" s="155"/>
      <c r="ADX43" s="155"/>
      <c r="ADY43" s="155"/>
      <c r="ADZ43" s="155"/>
      <c r="AEA43" s="155"/>
      <c r="AEB43" s="155"/>
      <c r="AEC43" s="155"/>
      <c r="AED43" s="155"/>
      <c r="AEE43" s="155"/>
      <c r="AEF43" s="155"/>
      <c r="AEG43" s="155"/>
      <c r="AEH43" s="155"/>
      <c r="AEI43" s="155"/>
      <c r="AEJ43" s="155"/>
      <c r="AEK43" s="155"/>
      <c r="AEL43" s="155"/>
      <c r="AEM43" s="155"/>
      <c r="AEN43" s="155"/>
      <c r="AEO43" s="155"/>
      <c r="AEP43" s="155"/>
      <c r="AEQ43" s="155"/>
      <c r="AER43" s="155"/>
      <c r="AES43" s="155"/>
      <c r="AET43" s="155"/>
      <c r="AEU43" s="155"/>
      <c r="AEV43" s="155"/>
      <c r="AEW43" s="155"/>
      <c r="AEX43" s="155"/>
      <c r="AEY43" s="155"/>
      <c r="AEZ43" s="155"/>
      <c r="AFA43" s="155"/>
      <c r="AFB43" s="155"/>
      <c r="AFC43" s="155"/>
      <c r="AFD43" s="155"/>
      <c r="AFE43" s="155"/>
      <c r="AFF43" s="155"/>
      <c r="AFG43" s="155"/>
      <c r="AFH43" s="155"/>
      <c r="AFI43" s="155"/>
      <c r="AFJ43" s="155"/>
      <c r="AFK43" s="155"/>
      <c r="AFL43" s="155"/>
      <c r="AFM43" s="155"/>
      <c r="AFN43" s="155"/>
      <c r="AFO43" s="155"/>
      <c r="AFP43" s="155"/>
      <c r="AFQ43" s="155"/>
      <c r="AFR43" s="155"/>
      <c r="AFS43" s="155"/>
      <c r="AFT43" s="155"/>
      <c r="AFU43" s="155"/>
      <c r="AFV43" s="155"/>
      <c r="AFW43" s="155"/>
      <c r="AFX43" s="155"/>
      <c r="AFY43" s="155"/>
      <c r="AFZ43" s="155"/>
      <c r="AGA43" s="155"/>
      <c r="AGB43" s="155"/>
      <c r="AGC43" s="155"/>
      <c r="AGD43" s="155"/>
      <c r="AGE43" s="155"/>
      <c r="AGF43" s="155"/>
      <c r="AGG43" s="155"/>
      <c r="AGH43" s="155"/>
      <c r="AGI43" s="155"/>
      <c r="AGJ43" s="155"/>
      <c r="AGK43" s="155"/>
      <c r="AGL43" s="155"/>
      <c r="AGM43" s="155"/>
      <c r="AGN43" s="155"/>
      <c r="AGO43" s="155"/>
      <c r="AGP43" s="155"/>
      <c r="AGQ43" s="155"/>
      <c r="AGR43" s="155"/>
      <c r="AGS43" s="155"/>
      <c r="AGT43" s="155"/>
      <c r="AGU43" s="155"/>
      <c r="AGV43" s="155"/>
      <c r="AGW43" s="155"/>
      <c r="AGX43" s="155"/>
      <c r="AGY43" s="155"/>
      <c r="AGZ43" s="155"/>
      <c r="AHA43" s="155"/>
      <c r="AHB43" s="155"/>
      <c r="AHC43" s="155"/>
      <c r="AHD43" s="155"/>
      <c r="AHE43" s="155"/>
      <c r="AHF43" s="155"/>
      <c r="AHG43" s="155"/>
      <c r="AHH43" s="155"/>
      <c r="AHI43" s="155"/>
      <c r="AHJ43" s="155"/>
      <c r="AHK43" s="155"/>
      <c r="AHL43" s="155"/>
      <c r="AHM43" s="155"/>
      <c r="AHN43" s="155"/>
      <c r="AHO43" s="155"/>
      <c r="AHP43" s="155"/>
      <c r="AHQ43" s="155"/>
      <c r="AHR43" s="155"/>
      <c r="AHS43" s="155"/>
      <c r="AHT43" s="155"/>
      <c r="AHU43" s="155"/>
      <c r="AHV43" s="155"/>
      <c r="AHW43" s="155"/>
      <c r="AHX43" s="155"/>
      <c r="AHY43" s="155"/>
      <c r="AHZ43" s="155"/>
      <c r="AIA43" s="155"/>
      <c r="AIB43" s="155"/>
      <c r="AIC43" s="155"/>
      <c r="AID43" s="155"/>
      <c r="AIE43" s="155"/>
      <c r="AIF43" s="155"/>
      <c r="AIG43" s="155"/>
      <c r="AIH43" s="155"/>
      <c r="AII43" s="155"/>
      <c r="AIJ43" s="155"/>
      <c r="AIK43" s="155"/>
      <c r="AIL43" s="155"/>
      <c r="AIM43" s="155"/>
      <c r="AIN43" s="155"/>
      <c r="AIO43" s="155"/>
      <c r="AIP43" s="155"/>
      <c r="AIQ43" s="155"/>
      <c r="AIR43" s="155"/>
      <c r="AIS43" s="155"/>
      <c r="AIT43" s="155"/>
      <c r="AIU43" s="155"/>
      <c r="AIV43" s="155"/>
      <c r="AIW43" s="155"/>
      <c r="AIX43" s="155"/>
      <c r="AIY43" s="155"/>
      <c r="AIZ43" s="155"/>
      <c r="AJA43" s="155"/>
      <c r="AJB43" s="155"/>
      <c r="AJC43" s="155"/>
      <c r="AJD43" s="155"/>
      <c r="AJE43" s="155"/>
      <c r="AJF43" s="155"/>
      <c r="AJG43" s="155"/>
      <c r="AJH43" s="155"/>
      <c r="AJI43" s="155"/>
      <c r="AJJ43" s="155"/>
      <c r="AJK43" s="155"/>
      <c r="AJL43" s="155"/>
      <c r="AJM43" s="155"/>
      <c r="AJN43" s="155"/>
      <c r="AJO43" s="155"/>
      <c r="AJP43" s="155"/>
      <c r="AJQ43" s="155"/>
      <c r="AJR43" s="155"/>
      <c r="AJS43" s="155"/>
      <c r="AJT43" s="155"/>
      <c r="AJU43" s="155"/>
      <c r="AJV43" s="155"/>
      <c r="AJW43" s="155"/>
      <c r="AJX43" s="155"/>
      <c r="AJY43" s="155"/>
      <c r="AJZ43" s="155"/>
      <c r="AKA43" s="155"/>
      <c r="AKB43" s="155"/>
      <c r="AKC43" s="155"/>
      <c r="AKD43" s="155"/>
      <c r="AKE43" s="155"/>
      <c r="AKF43" s="155"/>
      <c r="AKG43" s="155"/>
      <c r="AKH43" s="155"/>
      <c r="AKI43" s="155"/>
      <c r="AKJ43" s="155"/>
      <c r="AKK43" s="155"/>
      <c r="AKL43" s="155"/>
      <c r="AKM43" s="155"/>
      <c r="AKN43" s="155"/>
      <c r="AKO43" s="155"/>
      <c r="AKP43" s="155"/>
      <c r="AKQ43" s="155"/>
      <c r="AKR43" s="155"/>
      <c r="AKS43" s="155"/>
      <c r="AKT43" s="155"/>
      <c r="AKU43" s="155"/>
      <c r="AKV43" s="155"/>
      <c r="AKW43" s="155"/>
      <c r="AKX43" s="155"/>
      <c r="AKY43" s="155"/>
      <c r="AKZ43" s="155"/>
      <c r="ALA43" s="155"/>
      <c r="ALB43" s="155"/>
      <c r="ALC43" s="155"/>
      <c r="ALD43" s="155"/>
      <c r="ALE43" s="155"/>
      <c r="ALF43" s="155"/>
      <c r="ALG43" s="155"/>
      <c r="ALH43" s="155"/>
      <c r="ALI43" s="155"/>
      <c r="ALJ43" s="155"/>
      <c r="ALK43" s="155"/>
      <c r="ALL43" s="155"/>
      <c r="ALM43" s="155"/>
      <c r="ALN43" s="155"/>
      <c r="ALO43" s="155"/>
      <c r="ALP43" s="155"/>
      <c r="ALQ43" s="155"/>
      <c r="ALR43" s="155"/>
      <c r="ALS43" s="155"/>
      <c r="ALT43" s="155"/>
      <c r="ALU43" s="155"/>
      <c r="ALV43" s="155"/>
      <c r="ALW43" s="155"/>
      <c r="ALX43" s="155"/>
      <c r="ALY43" s="155"/>
      <c r="ALZ43" s="155"/>
      <c r="AMA43" s="155"/>
      <c r="AMB43" s="155"/>
      <c r="AMC43" s="155"/>
      <c r="AMD43" s="155"/>
      <c r="AME43" s="155"/>
      <c r="AMF43" s="155"/>
      <c r="AMG43" s="155"/>
      <c r="AMH43" s="155"/>
      <c r="AMI43" s="155"/>
      <c r="AMJ43" s="155"/>
      <c r="AMK43" s="155"/>
      <c r="AML43" s="155"/>
      <c r="AMM43" s="155"/>
      <c r="AMN43" s="155"/>
      <c r="AMO43" s="155"/>
      <c r="AMP43" s="155"/>
      <c r="AMQ43" s="155"/>
      <c r="AMR43" s="155"/>
      <c r="AMS43" s="155"/>
      <c r="AMT43" s="155"/>
      <c r="AMU43" s="155"/>
      <c r="AMV43" s="155"/>
      <c r="AMW43" s="155"/>
      <c r="AMX43" s="155"/>
      <c r="AMY43" s="155"/>
      <c r="AMZ43" s="155"/>
      <c r="ANA43" s="155"/>
      <c r="ANB43" s="155"/>
      <c r="ANC43" s="155"/>
      <c r="AND43" s="155"/>
      <c r="ANE43" s="155"/>
      <c r="ANF43" s="155"/>
      <c r="ANG43" s="155"/>
      <c r="ANH43" s="155"/>
      <c r="ANI43" s="155"/>
      <c r="ANJ43" s="155"/>
      <c r="ANK43" s="155"/>
      <c r="ANL43" s="155"/>
      <c r="ANM43" s="155"/>
      <c r="ANN43" s="155"/>
      <c r="ANO43" s="155"/>
      <c r="ANP43" s="155"/>
      <c r="ANQ43" s="155"/>
      <c r="ANR43" s="155"/>
      <c r="ANS43" s="155"/>
      <c r="ANT43" s="155"/>
      <c r="ANU43" s="155"/>
      <c r="ANV43" s="155"/>
      <c r="ANW43" s="155"/>
      <c r="ANX43" s="155"/>
      <c r="ANY43" s="155"/>
      <c r="ANZ43" s="155"/>
      <c r="AOA43" s="155"/>
      <c r="AOB43" s="155"/>
      <c r="AOC43" s="155"/>
      <c r="AOD43" s="155"/>
      <c r="AOE43" s="155"/>
      <c r="AOF43" s="155"/>
      <c r="AOG43" s="155"/>
      <c r="AOH43" s="155"/>
      <c r="AOI43" s="155"/>
      <c r="AOJ43" s="155"/>
      <c r="AOK43" s="155"/>
      <c r="AOL43" s="155"/>
      <c r="AOM43" s="155"/>
      <c r="AON43" s="155"/>
      <c r="AOO43" s="155"/>
      <c r="AOP43" s="155"/>
      <c r="AOQ43" s="155"/>
      <c r="AOR43" s="155"/>
      <c r="AOS43" s="155"/>
      <c r="AOT43" s="155"/>
      <c r="AOU43" s="155"/>
      <c r="AOV43" s="155"/>
      <c r="AOW43" s="155"/>
      <c r="AOX43" s="155"/>
      <c r="AOY43" s="155"/>
      <c r="AOZ43" s="155"/>
      <c r="APA43" s="155"/>
      <c r="APB43" s="155"/>
      <c r="APC43" s="155"/>
      <c r="APD43" s="155"/>
      <c r="APE43" s="155"/>
      <c r="APF43" s="155"/>
      <c r="APG43" s="155"/>
      <c r="APH43" s="155"/>
      <c r="API43" s="155"/>
      <c r="APJ43" s="155"/>
      <c r="APK43" s="155"/>
      <c r="APL43" s="155"/>
      <c r="APM43" s="155"/>
      <c r="APN43" s="155"/>
      <c r="APO43" s="155"/>
      <c r="APP43" s="155"/>
      <c r="APQ43" s="155"/>
      <c r="APR43" s="155"/>
      <c r="APS43" s="155"/>
      <c r="APT43" s="155"/>
      <c r="APU43" s="155"/>
      <c r="APV43" s="155"/>
      <c r="APW43" s="155"/>
      <c r="APX43" s="155"/>
      <c r="APY43" s="155"/>
      <c r="APZ43" s="155"/>
      <c r="AQA43" s="155"/>
      <c r="AQB43" s="155"/>
      <c r="AQC43" s="155"/>
      <c r="AQD43" s="155"/>
      <c r="AQE43" s="155"/>
      <c r="AQF43" s="155"/>
      <c r="AQG43" s="155"/>
      <c r="AQH43" s="155"/>
      <c r="AQI43" s="155"/>
      <c r="AQJ43" s="155"/>
      <c r="AQK43" s="155"/>
      <c r="AQL43" s="155"/>
      <c r="AQM43" s="155"/>
      <c r="AQN43" s="155"/>
      <c r="AQO43" s="155"/>
      <c r="AQP43" s="155"/>
      <c r="AQQ43" s="155"/>
      <c r="AQR43" s="155"/>
      <c r="AQS43" s="155"/>
      <c r="AQT43" s="155"/>
      <c r="AQU43" s="155"/>
      <c r="AQV43" s="155"/>
      <c r="AQW43" s="155"/>
      <c r="AQX43" s="155"/>
      <c r="AQY43" s="155"/>
      <c r="AQZ43" s="155"/>
      <c r="ARA43" s="155"/>
      <c r="ARB43" s="155"/>
      <c r="ARC43" s="155"/>
      <c r="ARD43" s="155"/>
      <c r="ARE43" s="155"/>
      <c r="ARF43" s="155"/>
      <c r="ARG43" s="155"/>
      <c r="ARH43" s="155"/>
      <c r="ARI43" s="155"/>
      <c r="ARJ43" s="155"/>
      <c r="ARK43" s="155"/>
      <c r="ARL43" s="155"/>
      <c r="ARM43" s="155"/>
      <c r="ARN43" s="155"/>
      <c r="ARO43" s="155"/>
      <c r="ARP43" s="155"/>
      <c r="ARQ43" s="155"/>
      <c r="ARR43" s="155"/>
      <c r="ARS43" s="155"/>
      <c r="ART43" s="155"/>
      <c r="ARU43" s="155"/>
      <c r="ARV43" s="155"/>
      <c r="ARW43" s="155"/>
      <c r="ARX43" s="155"/>
      <c r="ARY43" s="155"/>
      <c r="ARZ43" s="155"/>
      <c r="ASA43" s="155"/>
      <c r="ASB43" s="155"/>
      <c r="ASC43" s="155"/>
      <c r="ASD43" s="155"/>
      <c r="ASE43" s="155"/>
      <c r="ASF43" s="155"/>
      <c r="ASG43" s="155"/>
      <c r="ASH43" s="155"/>
      <c r="ASI43" s="155"/>
      <c r="ASJ43" s="155"/>
      <c r="ASK43" s="155"/>
      <c r="ASL43" s="155"/>
      <c r="ASM43" s="155"/>
      <c r="ASN43" s="155"/>
      <c r="ASO43" s="155"/>
      <c r="ASP43" s="155"/>
      <c r="ASQ43" s="155"/>
      <c r="ASR43" s="155"/>
      <c r="ASS43" s="155"/>
      <c r="AST43" s="155"/>
      <c r="ASU43" s="155"/>
      <c r="ASV43" s="155"/>
      <c r="ASW43" s="155"/>
      <c r="ASX43" s="155"/>
      <c r="ASY43" s="155"/>
      <c r="ASZ43" s="155"/>
      <c r="ATA43" s="155"/>
      <c r="ATB43" s="155"/>
      <c r="ATC43" s="155"/>
      <c r="ATD43" s="155"/>
      <c r="ATE43" s="155"/>
      <c r="ATF43" s="155"/>
      <c r="ATG43" s="155"/>
      <c r="ATH43" s="155"/>
      <c r="ATI43" s="155"/>
      <c r="ATJ43" s="155"/>
      <c r="ATK43" s="155"/>
      <c r="ATL43" s="155"/>
      <c r="ATM43" s="155"/>
      <c r="ATN43" s="155"/>
      <c r="ATO43" s="155"/>
      <c r="ATP43" s="155"/>
      <c r="ATQ43" s="155"/>
      <c r="ATR43" s="155"/>
      <c r="ATS43" s="155"/>
      <c r="ATT43" s="155"/>
      <c r="ATU43" s="155"/>
      <c r="ATV43" s="155"/>
      <c r="ATW43" s="155"/>
      <c r="ATX43" s="155"/>
      <c r="ATY43" s="155"/>
      <c r="ATZ43" s="155"/>
      <c r="AUA43" s="155"/>
      <c r="AUB43" s="155"/>
      <c r="AUC43" s="155"/>
      <c r="AUD43" s="155"/>
      <c r="AUE43" s="155"/>
      <c r="AUF43" s="155"/>
      <c r="AUG43" s="155"/>
      <c r="AUH43" s="155"/>
      <c r="AUI43" s="155"/>
      <c r="AUJ43" s="155"/>
      <c r="AUK43" s="155"/>
      <c r="AUL43" s="155"/>
      <c r="AUM43" s="155"/>
      <c r="AUN43" s="155"/>
      <c r="AUO43" s="155"/>
      <c r="AUP43" s="155"/>
      <c r="AUQ43" s="155"/>
      <c r="AUR43" s="155"/>
      <c r="AUS43" s="155"/>
      <c r="AUT43" s="155"/>
      <c r="AUU43" s="155"/>
      <c r="AUV43" s="155"/>
      <c r="AUW43" s="155"/>
      <c r="AUX43" s="155"/>
      <c r="AUY43" s="155"/>
      <c r="AUZ43" s="155"/>
      <c r="AVA43" s="155"/>
      <c r="AVB43" s="155"/>
      <c r="AVC43" s="155"/>
      <c r="AVD43" s="155"/>
      <c r="AVE43" s="155"/>
      <c r="AVF43" s="155"/>
      <c r="AVG43" s="155"/>
      <c r="AVH43" s="155"/>
      <c r="AVI43" s="155"/>
      <c r="AVJ43" s="155"/>
      <c r="AVK43" s="155"/>
      <c r="AVL43" s="155"/>
      <c r="AVM43" s="155"/>
      <c r="AVN43" s="155"/>
      <c r="AVO43" s="155"/>
      <c r="AVP43" s="155"/>
      <c r="AVQ43" s="155"/>
      <c r="AVR43" s="155"/>
      <c r="AVS43" s="155"/>
      <c r="AVT43" s="155"/>
      <c r="AVU43" s="155"/>
      <c r="AVV43" s="155"/>
      <c r="AVW43" s="155"/>
      <c r="AVX43" s="155"/>
      <c r="AVY43" s="155"/>
      <c r="AVZ43" s="155"/>
      <c r="AWA43" s="155"/>
      <c r="AWB43" s="155"/>
      <c r="AWC43" s="155"/>
      <c r="AWD43" s="155"/>
      <c r="AWE43" s="155"/>
      <c r="AWF43" s="155"/>
      <c r="AWG43" s="155"/>
      <c r="AWH43" s="155"/>
      <c r="AWI43" s="155"/>
      <c r="AWJ43" s="155"/>
      <c r="AWK43" s="155"/>
      <c r="AWL43" s="155"/>
      <c r="AWM43" s="155"/>
      <c r="AWN43" s="155"/>
      <c r="AWO43" s="155"/>
      <c r="AWP43" s="155"/>
      <c r="AWQ43" s="155"/>
      <c r="AWR43" s="155"/>
      <c r="AWS43" s="155"/>
      <c r="AWT43" s="155"/>
      <c r="AWU43" s="155"/>
      <c r="AWV43" s="155"/>
      <c r="AWW43" s="155"/>
      <c r="AWX43" s="155"/>
      <c r="AWY43" s="155"/>
      <c r="AWZ43" s="155"/>
      <c r="AXA43" s="155"/>
      <c r="AXB43" s="155"/>
      <c r="AXC43" s="155"/>
      <c r="AXD43" s="155"/>
      <c r="AXE43" s="155"/>
      <c r="AXF43" s="155"/>
      <c r="AXG43" s="155"/>
      <c r="AXH43" s="155"/>
      <c r="AXI43" s="155"/>
      <c r="AXJ43" s="155"/>
      <c r="AXK43" s="155"/>
      <c r="AXL43" s="155"/>
      <c r="AXM43" s="155"/>
      <c r="AXN43" s="155"/>
      <c r="AXO43" s="155"/>
      <c r="AXP43" s="155"/>
      <c r="AXQ43" s="155"/>
      <c r="AXR43" s="155"/>
      <c r="AXS43" s="155"/>
      <c r="AXT43" s="155"/>
      <c r="AXU43" s="155"/>
      <c r="AXV43" s="155"/>
      <c r="AXW43" s="155"/>
      <c r="AXX43" s="155"/>
      <c r="AXY43" s="155"/>
      <c r="AXZ43" s="155"/>
      <c r="AYA43" s="155"/>
      <c r="AYB43" s="155"/>
      <c r="AYC43" s="155"/>
      <c r="AYD43" s="155"/>
      <c r="AYE43" s="155"/>
      <c r="AYF43" s="155"/>
      <c r="AYG43" s="155"/>
      <c r="AYH43" s="155"/>
      <c r="AYI43" s="155"/>
      <c r="AYJ43" s="155"/>
      <c r="AYK43" s="155"/>
      <c r="AYL43" s="155"/>
      <c r="AYM43" s="155"/>
      <c r="AYN43" s="155"/>
      <c r="AYO43" s="155"/>
      <c r="AYP43" s="155"/>
      <c r="AYQ43" s="155"/>
      <c r="AYR43" s="155"/>
      <c r="AYS43" s="155"/>
      <c r="AYT43" s="155"/>
      <c r="AYU43" s="155"/>
      <c r="AYV43" s="155"/>
      <c r="AYW43" s="155"/>
      <c r="AYX43" s="155"/>
      <c r="AYY43" s="155"/>
      <c r="AYZ43" s="155"/>
      <c r="AZA43" s="155"/>
      <c r="AZB43" s="155"/>
      <c r="AZC43" s="155"/>
      <c r="AZD43" s="155"/>
      <c r="AZE43" s="155"/>
      <c r="AZF43" s="155"/>
      <c r="AZG43" s="155"/>
      <c r="AZH43" s="155"/>
      <c r="AZI43" s="155"/>
      <c r="AZJ43" s="155"/>
      <c r="AZK43" s="155"/>
      <c r="AZL43" s="155"/>
      <c r="AZM43" s="155"/>
      <c r="AZN43" s="155"/>
      <c r="AZO43" s="155"/>
      <c r="AZP43" s="155"/>
      <c r="AZQ43" s="155"/>
      <c r="AZR43" s="155"/>
      <c r="AZS43" s="155"/>
      <c r="AZT43" s="155"/>
      <c r="AZU43" s="155"/>
      <c r="AZV43" s="155"/>
      <c r="AZW43" s="155"/>
      <c r="AZX43" s="155"/>
      <c r="AZY43" s="155"/>
      <c r="AZZ43" s="155"/>
      <c r="BAA43" s="155"/>
      <c r="BAB43" s="155"/>
      <c r="BAC43" s="155"/>
      <c r="BAD43" s="155"/>
      <c r="BAE43" s="155"/>
      <c r="BAF43" s="155"/>
      <c r="BAG43" s="155"/>
      <c r="BAH43" s="155"/>
      <c r="BAI43" s="155"/>
      <c r="BAJ43" s="155"/>
      <c r="BAK43" s="155"/>
      <c r="BAL43" s="155"/>
      <c r="BAM43" s="155"/>
      <c r="BAN43" s="155"/>
      <c r="BAO43" s="155"/>
      <c r="BAP43" s="155"/>
      <c r="BAQ43" s="155"/>
      <c r="BAR43" s="155"/>
      <c r="BAS43" s="155"/>
      <c r="BAT43" s="155"/>
      <c r="BAU43" s="155"/>
      <c r="BAV43" s="155"/>
      <c r="BAW43" s="155"/>
      <c r="BAX43" s="155"/>
      <c r="BAY43" s="155"/>
      <c r="BAZ43" s="155"/>
      <c r="BBA43" s="155"/>
      <c r="BBB43" s="155"/>
      <c r="BBC43" s="155"/>
      <c r="BBD43" s="155"/>
      <c r="BBE43" s="155"/>
      <c r="BBF43" s="155"/>
      <c r="BBG43" s="155"/>
      <c r="BBH43" s="155"/>
      <c r="BBI43" s="155"/>
      <c r="BBJ43" s="155"/>
      <c r="BBK43" s="155"/>
      <c r="BBL43" s="155"/>
      <c r="BBM43" s="155"/>
      <c r="BBN43" s="155"/>
      <c r="BBO43" s="155"/>
      <c r="BBP43" s="155"/>
      <c r="BBQ43" s="155"/>
      <c r="BBR43" s="155"/>
      <c r="BBS43" s="155"/>
      <c r="BBT43" s="155"/>
      <c r="BBU43" s="155"/>
      <c r="BBV43" s="155"/>
      <c r="BBW43" s="155"/>
      <c r="BBX43" s="155"/>
      <c r="BBY43" s="155"/>
      <c r="BBZ43" s="155"/>
      <c r="BCA43" s="155"/>
      <c r="BCB43" s="155"/>
      <c r="BCC43" s="155"/>
      <c r="BCD43" s="155"/>
      <c r="BCE43" s="155"/>
      <c r="BCF43" s="155"/>
      <c r="BCG43" s="155"/>
      <c r="BCH43" s="155"/>
      <c r="BCI43" s="155"/>
      <c r="BCJ43" s="155"/>
      <c r="BCK43" s="155"/>
      <c r="BCL43" s="155"/>
      <c r="BCM43" s="155"/>
      <c r="BCN43" s="155"/>
      <c r="BCO43" s="155"/>
      <c r="BCP43" s="155"/>
      <c r="BCQ43" s="155"/>
      <c r="BCR43" s="155"/>
      <c r="BCS43" s="155"/>
      <c r="BCT43" s="155"/>
      <c r="BCU43" s="155"/>
      <c r="BCV43" s="155"/>
      <c r="BCW43" s="155"/>
      <c r="BCX43" s="155"/>
      <c r="BCY43" s="155"/>
      <c r="BCZ43" s="155"/>
      <c r="BDA43" s="155"/>
      <c r="BDB43" s="155"/>
      <c r="BDC43" s="155"/>
      <c r="BDD43" s="155"/>
      <c r="BDE43" s="155"/>
      <c r="BDF43" s="155"/>
      <c r="BDG43" s="155"/>
      <c r="BDH43" s="155"/>
      <c r="BDI43" s="155"/>
      <c r="BDJ43" s="155"/>
      <c r="BDK43" s="155"/>
      <c r="BDL43" s="155"/>
      <c r="BDM43" s="155"/>
      <c r="BDN43" s="155"/>
      <c r="BDO43" s="155"/>
      <c r="BDP43" s="155"/>
      <c r="BDQ43" s="155"/>
      <c r="BDR43" s="155"/>
      <c r="BDS43" s="155"/>
      <c r="BDT43" s="155"/>
      <c r="BDU43" s="155"/>
      <c r="BDV43" s="155"/>
      <c r="BDW43" s="155"/>
      <c r="BDX43" s="155"/>
      <c r="BDY43" s="155"/>
      <c r="BDZ43" s="155"/>
      <c r="BEA43" s="155"/>
      <c r="BEB43" s="155"/>
      <c r="BEC43" s="155"/>
      <c r="BED43" s="155"/>
      <c r="BEE43" s="155"/>
      <c r="BEF43" s="155"/>
      <c r="BEG43" s="155"/>
      <c r="BEH43" s="155"/>
      <c r="BEI43" s="155"/>
      <c r="BEJ43" s="155"/>
      <c r="BEK43" s="155"/>
      <c r="BEL43" s="155"/>
      <c r="BEM43" s="155"/>
      <c r="BEN43" s="155"/>
      <c r="BEO43" s="155"/>
      <c r="BEP43" s="155"/>
      <c r="BEQ43" s="155"/>
      <c r="BER43" s="155"/>
      <c r="BES43" s="155"/>
      <c r="BET43" s="155"/>
      <c r="BEU43" s="155"/>
      <c r="BEV43" s="155"/>
      <c r="BEW43" s="155"/>
      <c r="BEX43" s="155"/>
      <c r="BEY43" s="155"/>
      <c r="BEZ43" s="155"/>
      <c r="BFA43" s="155"/>
      <c r="BFB43" s="155"/>
      <c r="BFC43" s="155"/>
      <c r="BFD43" s="155"/>
      <c r="BFE43" s="155"/>
      <c r="BFF43" s="155"/>
      <c r="BFG43" s="155"/>
      <c r="BFH43" s="155"/>
      <c r="BFI43" s="155"/>
      <c r="BFJ43" s="155"/>
      <c r="BFK43" s="155"/>
      <c r="BFL43" s="155"/>
      <c r="BFM43" s="155"/>
      <c r="BFN43" s="155"/>
      <c r="BFO43" s="155"/>
      <c r="BFP43" s="155"/>
      <c r="BFQ43" s="155"/>
      <c r="BFR43" s="155"/>
      <c r="BFS43" s="155"/>
      <c r="BFT43" s="155"/>
      <c r="BFU43" s="155"/>
      <c r="BFV43" s="155"/>
      <c r="BFW43" s="155"/>
      <c r="BFX43" s="155"/>
      <c r="BFY43" s="155"/>
      <c r="BFZ43" s="155"/>
      <c r="BGA43" s="155"/>
      <c r="BGB43" s="155"/>
      <c r="BGC43" s="155"/>
      <c r="BGD43" s="155"/>
      <c r="BGE43" s="155"/>
      <c r="BGF43" s="155"/>
      <c r="BGG43" s="155"/>
      <c r="BGH43" s="155"/>
      <c r="BGI43" s="155"/>
      <c r="BGJ43" s="155"/>
      <c r="BGK43" s="155"/>
      <c r="BGL43" s="155"/>
      <c r="BGM43" s="155"/>
      <c r="BGN43" s="155"/>
      <c r="BGO43" s="155"/>
      <c r="BGP43" s="155"/>
      <c r="BGQ43" s="155"/>
      <c r="BGR43" s="155"/>
      <c r="BGS43" s="155"/>
      <c r="BGT43" s="155"/>
      <c r="BGU43" s="155"/>
      <c r="BGV43" s="155"/>
      <c r="BGW43" s="155"/>
      <c r="BGX43" s="155"/>
      <c r="BGY43" s="155"/>
      <c r="BGZ43" s="155"/>
      <c r="BHA43" s="155"/>
      <c r="BHB43" s="155"/>
      <c r="BHC43" s="155"/>
      <c r="BHD43" s="155"/>
      <c r="BHE43" s="155"/>
      <c r="BHF43" s="155"/>
      <c r="BHG43" s="155"/>
      <c r="BHH43" s="155"/>
      <c r="BHI43" s="155"/>
      <c r="BHJ43" s="155"/>
      <c r="BHK43" s="155"/>
      <c r="BHL43" s="155"/>
      <c r="BHM43" s="155"/>
      <c r="BHN43" s="155"/>
      <c r="BHO43" s="155"/>
      <c r="BHP43" s="155"/>
      <c r="BHQ43" s="155"/>
      <c r="BHR43" s="155"/>
      <c r="BHS43" s="155"/>
      <c r="BHT43" s="155"/>
      <c r="BHU43" s="155"/>
      <c r="BHV43" s="155"/>
      <c r="BHW43" s="155"/>
      <c r="BHX43" s="155"/>
      <c r="BHY43" s="155"/>
      <c r="BHZ43" s="155"/>
      <c r="BIA43" s="155"/>
      <c r="BIB43" s="155"/>
      <c r="BIC43" s="155"/>
      <c r="BID43" s="155"/>
      <c r="BIE43" s="155"/>
      <c r="BIF43" s="155"/>
      <c r="BIG43" s="155"/>
      <c r="BIH43" s="155"/>
      <c r="BII43" s="155"/>
      <c r="BIJ43" s="155"/>
      <c r="BIK43" s="155"/>
      <c r="BIL43" s="155"/>
      <c r="BIM43" s="155"/>
      <c r="BIN43" s="155"/>
      <c r="BIO43" s="155"/>
      <c r="BIP43" s="155"/>
      <c r="BIQ43" s="155"/>
      <c r="BIR43" s="155"/>
      <c r="BIS43" s="155"/>
      <c r="BIT43" s="155"/>
      <c r="BIU43" s="155"/>
      <c r="BIV43" s="155"/>
      <c r="BIW43" s="155"/>
      <c r="BIX43" s="155"/>
      <c r="BIY43" s="155"/>
      <c r="BIZ43" s="155"/>
      <c r="BJA43" s="155"/>
      <c r="BJB43" s="155"/>
      <c r="BJC43" s="155"/>
      <c r="BJD43" s="155"/>
      <c r="BJE43" s="155"/>
      <c r="BJF43" s="155"/>
      <c r="BJG43" s="155"/>
      <c r="BJH43" s="155"/>
      <c r="BJI43" s="155"/>
      <c r="BJJ43" s="155"/>
      <c r="BJK43" s="155"/>
      <c r="BJL43" s="155"/>
      <c r="BJM43" s="155"/>
      <c r="BJN43" s="155"/>
      <c r="BJO43" s="155"/>
      <c r="BJP43" s="155"/>
      <c r="BJQ43" s="155"/>
      <c r="BJR43" s="155"/>
      <c r="BJS43" s="155"/>
      <c r="BJT43" s="155"/>
      <c r="BJU43" s="155"/>
      <c r="BJV43" s="155"/>
      <c r="BJW43" s="155"/>
      <c r="BJX43" s="155"/>
      <c r="BJY43" s="155"/>
      <c r="BJZ43" s="155"/>
      <c r="BKA43" s="155"/>
      <c r="BKB43" s="155"/>
      <c r="BKC43" s="155"/>
      <c r="BKD43" s="155"/>
      <c r="BKE43" s="155"/>
      <c r="BKF43" s="155"/>
      <c r="BKG43" s="155"/>
      <c r="BKH43" s="155"/>
      <c r="BKI43" s="155"/>
      <c r="BKJ43" s="155"/>
      <c r="BKK43" s="155"/>
      <c r="BKL43" s="155"/>
      <c r="BKM43" s="155"/>
      <c r="BKN43" s="155"/>
      <c r="BKO43" s="155"/>
      <c r="BKP43" s="155"/>
      <c r="BKQ43" s="155"/>
      <c r="BKR43" s="155"/>
      <c r="BKS43" s="155"/>
      <c r="BKT43" s="155"/>
      <c r="BKU43" s="155"/>
      <c r="BKV43" s="155"/>
      <c r="BKW43" s="155"/>
      <c r="BKX43" s="155"/>
      <c r="BKY43" s="155"/>
      <c r="BKZ43" s="155"/>
      <c r="BLA43" s="155"/>
      <c r="BLB43" s="155"/>
      <c r="BLC43" s="155"/>
      <c r="BLD43" s="155"/>
      <c r="BLE43" s="155"/>
      <c r="BLF43" s="155"/>
      <c r="BLG43" s="155"/>
      <c r="BLH43" s="155"/>
      <c r="BLI43" s="155"/>
      <c r="BLJ43" s="155"/>
      <c r="BLK43" s="155"/>
      <c r="BLL43" s="155"/>
      <c r="BLM43" s="155"/>
      <c r="BLN43" s="155"/>
      <c r="BLO43" s="155"/>
      <c r="BLP43" s="155"/>
      <c r="BLQ43" s="155"/>
      <c r="BLR43" s="155"/>
      <c r="BLS43" s="155"/>
      <c r="BLT43" s="155"/>
      <c r="BLU43" s="155"/>
      <c r="BLV43" s="155"/>
      <c r="BLW43" s="155"/>
      <c r="BLX43" s="155"/>
      <c r="BLY43" s="155"/>
      <c r="BLZ43" s="155"/>
      <c r="BMA43" s="155"/>
      <c r="BMB43" s="155"/>
      <c r="BMC43" s="155"/>
      <c r="BMD43" s="155"/>
      <c r="BME43" s="155"/>
      <c r="BMF43" s="155"/>
      <c r="BMG43" s="155"/>
      <c r="BMH43" s="155"/>
      <c r="BMI43" s="155"/>
      <c r="BMJ43" s="155"/>
      <c r="BMK43" s="155"/>
      <c r="BML43" s="155"/>
      <c r="BMM43" s="155"/>
      <c r="BMN43" s="155"/>
      <c r="BMO43" s="155"/>
      <c r="BMP43" s="155"/>
      <c r="BMQ43" s="155"/>
      <c r="BMR43" s="155"/>
      <c r="BMS43" s="155"/>
      <c r="BMT43" s="155"/>
      <c r="BMU43" s="155"/>
      <c r="BMV43" s="155"/>
      <c r="BMW43" s="155"/>
      <c r="BMX43" s="155"/>
      <c r="BMY43" s="155"/>
      <c r="BMZ43" s="155"/>
      <c r="BNA43" s="155"/>
      <c r="BNB43" s="155"/>
      <c r="BNC43" s="155"/>
      <c r="BND43" s="155"/>
      <c r="BNE43" s="155"/>
      <c r="BNF43" s="155"/>
      <c r="BNG43" s="155"/>
      <c r="BNH43" s="155"/>
      <c r="BNI43" s="155"/>
      <c r="BNJ43" s="155"/>
      <c r="BNK43" s="155"/>
      <c r="BNL43" s="155"/>
      <c r="BNM43" s="155"/>
      <c r="BNN43" s="155"/>
      <c r="BNO43" s="155"/>
      <c r="BNP43" s="155"/>
      <c r="BNQ43" s="155"/>
      <c r="BNR43" s="155"/>
      <c r="BNS43" s="155"/>
      <c r="BNT43" s="155"/>
      <c r="BNU43" s="155"/>
      <c r="BNV43" s="155"/>
      <c r="BNW43" s="155"/>
      <c r="BNX43" s="155"/>
      <c r="BNY43" s="155"/>
      <c r="BNZ43" s="155"/>
      <c r="BOA43" s="155"/>
      <c r="BOB43" s="155"/>
      <c r="BOC43" s="155"/>
      <c r="BOD43" s="155"/>
      <c r="BOE43" s="155"/>
      <c r="BOF43" s="155"/>
      <c r="BOG43" s="155"/>
      <c r="BOH43" s="155"/>
      <c r="BOI43" s="155"/>
      <c r="BOJ43" s="155"/>
      <c r="BOK43" s="155"/>
      <c r="BOL43" s="155"/>
      <c r="BOM43" s="155"/>
      <c r="BON43" s="155"/>
      <c r="BOO43" s="155"/>
      <c r="BOP43" s="155"/>
      <c r="BOQ43" s="155"/>
      <c r="BOR43" s="155"/>
      <c r="BOS43" s="155"/>
      <c r="BOT43" s="155"/>
      <c r="BOU43" s="155"/>
      <c r="BOV43" s="155"/>
      <c r="BOW43" s="155"/>
      <c r="BOX43" s="155"/>
      <c r="BOY43" s="155"/>
      <c r="BOZ43" s="155"/>
      <c r="BPA43" s="155"/>
      <c r="BPB43" s="155"/>
      <c r="BPC43" s="155"/>
      <c r="BPD43" s="155"/>
      <c r="BPE43" s="155"/>
      <c r="BPF43" s="155"/>
      <c r="BPG43" s="155"/>
      <c r="BPH43" s="155"/>
      <c r="BPI43" s="155"/>
      <c r="BPJ43" s="155"/>
      <c r="BPK43" s="155"/>
      <c r="BPL43" s="155"/>
      <c r="BPM43" s="155"/>
      <c r="BPN43" s="155"/>
      <c r="BPO43" s="155"/>
      <c r="BPP43" s="155"/>
      <c r="BPQ43" s="155"/>
      <c r="BPR43" s="155"/>
      <c r="BPS43" s="155"/>
      <c r="BPT43" s="155"/>
      <c r="BPU43" s="155"/>
      <c r="BPV43" s="155"/>
      <c r="BPW43" s="155"/>
      <c r="BPX43" s="155"/>
      <c r="BPY43" s="155"/>
      <c r="BPZ43" s="155"/>
      <c r="BQA43" s="155"/>
      <c r="BQB43" s="155"/>
      <c r="BQC43" s="155"/>
      <c r="BQD43" s="155"/>
      <c r="BQE43" s="155"/>
      <c r="BQF43" s="155"/>
      <c r="BQG43" s="155"/>
      <c r="BQH43" s="155"/>
      <c r="BQI43" s="155"/>
      <c r="BQJ43" s="155"/>
      <c r="BQK43" s="155"/>
      <c r="BQL43" s="155"/>
      <c r="BQM43" s="155"/>
      <c r="BQN43" s="155"/>
      <c r="BQO43" s="155"/>
      <c r="BQP43" s="155"/>
      <c r="BQQ43" s="155"/>
      <c r="BQR43" s="155"/>
      <c r="BQS43" s="155"/>
      <c r="BQT43" s="155"/>
      <c r="BQU43" s="155"/>
      <c r="BQV43" s="155"/>
      <c r="BQW43" s="155"/>
      <c r="BQX43" s="155"/>
      <c r="BQY43" s="155"/>
      <c r="BQZ43" s="155"/>
      <c r="BRA43" s="155"/>
      <c r="BRB43" s="155"/>
      <c r="BRC43" s="155"/>
      <c r="BRD43" s="155"/>
      <c r="BRE43" s="155"/>
      <c r="BRF43" s="155"/>
      <c r="BRG43" s="155"/>
      <c r="BRH43" s="155"/>
      <c r="BRI43" s="155"/>
      <c r="BRJ43" s="155"/>
      <c r="BRK43" s="155"/>
      <c r="BRL43" s="155"/>
      <c r="BRM43" s="155"/>
      <c r="BRN43" s="155"/>
      <c r="BRO43" s="155"/>
      <c r="BRP43" s="155"/>
      <c r="BRQ43" s="155"/>
      <c r="BRR43" s="155"/>
      <c r="BRS43" s="155"/>
      <c r="BRT43" s="155"/>
      <c r="BRU43" s="155"/>
      <c r="BRV43" s="155"/>
      <c r="BRW43" s="155"/>
      <c r="BRX43" s="155"/>
      <c r="BRY43" s="155"/>
      <c r="BRZ43" s="155"/>
      <c r="BSA43" s="155"/>
      <c r="BSB43" s="155"/>
      <c r="BSC43" s="155"/>
      <c r="BSD43" s="155"/>
      <c r="BSE43" s="155"/>
      <c r="BSF43" s="155"/>
      <c r="BSG43" s="155"/>
      <c r="BSH43" s="155"/>
      <c r="BSI43" s="155"/>
      <c r="BSJ43" s="155"/>
      <c r="BSK43" s="155"/>
      <c r="BSL43" s="155"/>
      <c r="BSM43" s="155"/>
      <c r="BSN43" s="155"/>
      <c r="BSO43" s="155"/>
      <c r="BSP43" s="155"/>
      <c r="BSQ43" s="155"/>
      <c r="BSR43" s="155"/>
      <c r="BSS43" s="155"/>
      <c r="BST43" s="155"/>
      <c r="BSU43" s="155"/>
      <c r="BSV43" s="155"/>
      <c r="BSW43" s="155"/>
      <c r="BSX43" s="155"/>
      <c r="BSY43" s="155"/>
      <c r="BSZ43" s="155"/>
      <c r="BTA43" s="155"/>
      <c r="BTB43" s="155"/>
      <c r="BTC43" s="155"/>
      <c r="BTD43" s="155"/>
      <c r="BTE43" s="155"/>
      <c r="BTF43" s="155"/>
      <c r="BTG43" s="155"/>
      <c r="BTH43" s="155"/>
      <c r="BTI43" s="155"/>
      <c r="BTJ43" s="155"/>
      <c r="BTK43" s="155"/>
      <c r="BTL43" s="155"/>
      <c r="BTM43" s="155"/>
      <c r="BTN43" s="155"/>
      <c r="BTO43" s="155"/>
      <c r="BTP43" s="155"/>
      <c r="BTQ43" s="155"/>
      <c r="BTR43" s="155"/>
      <c r="BTS43" s="155"/>
      <c r="BTT43" s="155"/>
      <c r="BTU43" s="155"/>
      <c r="BTV43" s="155"/>
      <c r="BTW43" s="155"/>
      <c r="BTX43" s="155"/>
      <c r="BTY43" s="155"/>
      <c r="BTZ43" s="155"/>
      <c r="BUA43" s="155"/>
      <c r="BUB43" s="155"/>
      <c r="BUC43" s="155"/>
      <c r="BUD43" s="155"/>
      <c r="BUE43" s="155"/>
      <c r="BUF43" s="155"/>
      <c r="BUG43" s="155"/>
      <c r="BUH43" s="155"/>
      <c r="BUI43" s="155"/>
      <c r="BUJ43" s="155"/>
      <c r="BUK43" s="155"/>
      <c r="BUL43" s="155"/>
      <c r="BUM43" s="155"/>
      <c r="BUN43" s="155"/>
      <c r="BUO43" s="155"/>
      <c r="BUP43" s="155"/>
      <c r="BUQ43" s="155"/>
      <c r="BUR43" s="155"/>
      <c r="BUS43" s="155"/>
      <c r="BUT43" s="155"/>
      <c r="BUU43" s="155"/>
      <c r="BUV43" s="155"/>
      <c r="BUW43" s="155"/>
      <c r="BUX43" s="155"/>
      <c r="BUY43" s="155"/>
      <c r="BUZ43" s="155"/>
      <c r="BVA43" s="155"/>
      <c r="BVB43" s="155"/>
      <c r="BVC43" s="155"/>
      <c r="BVD43" s="155"/>
      <c r="BVE43" s="155"/>
      <c r="BVF43" s="155"/>
      <c r="BVG43" s="155"/>
      <c r="BVH43" s="155"/>
      <c r="BVI43" s="155"/>
      <c r="BVJ43" s="155"/>
      <c r="BVK43" s="155"/>
      <c r="BVL43" s="155"/>
      <c r="BVM43" s="155"/>
      <c r="BVN43" s="155"/>
      <c r="BVO43" s="155"/>
      <c r="BVP43" s="155"/>
      <c r="BVQ43" s="155"/>
      <c r="BVR43" s="155"/>
      <c r="BVS43" s="155"/>
      <c r="BVT43" s="155"/>
      <c r="BVU43" s="155"/>
      <c r="BVV43" s="155"/>
      <c r="BVW43" s="155"/>
      <c r="BVX43" s="155"/>
      <c r="BVY43" s="155"/>
      <c r="BVZ43" s="155"/>
      <c r="BWA43" s="155"/>
      <c r="BWB43" s="155"/>
      <c r="BWC43" s="155"/>
      <c r="BWD43" s="155"/>
      <c r="BWE43" s="155"/>
      <c r="BWF43" s="155"/>
      <c r="BWG43" s="155"/>
      <c r="BWH43" s="155"/>
      <c r="BWI43" s="155"/>
      <c r="BWJ43" s="155"/>
      <c r="BWK43" s="155"/>
      <c r="BWL43" s="155"/>
      <c r="BWM43" s="155"/>
      <c r="BWN43" s="155"/>
      <c r="BWO43" s="155"/>
      <c r="BWP43" s="155"/>
      <c r="BWQ43" s="155"/>
      <c r="BWR43" s="155"/>
      <c r="BWS43" s="155"/>
      <c r="BWT43" s="155"/>
      <c r="BWU43" s="155"/>
      <c r="BWV43" s="155"/>
      <c r="BWW43" s="155"/>
      <c r="BWX43" s="155"/>
      <c r="BWY43" s="155"/>
      <c r="BWZ43" s="155"/>
      <c r="BXA43" s="155"/>
      <c r="BXB43" s="155"/>
      <c r="BXC43" s="155"/>
      <c r="BXD43" s="155"/>
      <c r="BXE43" s="155"/>
      <c r="BXF43" s="155"/>
      <c r="BXG43" s="155"/>
      <c r="BXH43" s="155"/>
      <c r="BXI43" s="155"/>
      <c r="BXJ43" s="155"/>
      <c r="BXK43" s="155"/>
      <c r="BXL43" s="155"/>
      <c r="BXM43" s="155"/>
      <c r="BXN43" s="155"/>
      <c r="BXO43" s="155"/>
      <c r="BXP43" s="155"/>
      <c r="BXQ43" s="155"/>
      <c r="BXR43" s="155"/>
      <c r="BXS43" s="155"/>
      <c r="BXT43" s="155"/>
      <c r="BXU43" s="155"/>
      <c r="BXV43" s="155"/>
      <c r="BXW43" s="155"/>
      <c r="BXX43" s="155"/>
      <c r="BXY43" s="155"/>
      <c r="BXZ43" s="155"/>
      <c r="BYA43" s="155"/>
      <c r="BYB43" s="155"/>
      <c r="BYC43" s="155"/>
      <c r="BYD43" s="155"/>
      <c r="BYE43" s="155"/>
      <c r="BYF43" s="155"/>
      <c r="BYG43" s="155"/>
      <c r="BYH43" s="155"/>
      <c r="BYI43" s="155"/>
      <c r="BYJ43" s="155"/>
      <c r="BYK43" s="155"/>
      <c r="BYL43" s="155"/>
      <c r="BYM43" s="155"/>
      <c r="BYN43" s="155"/>
      <c r="BYO43" s="155"/>
      <c r="BYP43" s="155"/>
      <c r="BYQ43" s="155"/>
      <c r="BYR43" s="155"/>
      <c r="BYS43" s="155"/>
      <c r="BYT43" s="155"/>
      <c r="BYU43" s="155"/>
      <c r="BYV43" s="155"/>
      <c r="BYW43" s="155"/>
      <c r="BYX43" s="155"/>
      <c r="BYY43" s="155"/>
      <c r="BYZ43" s="155"/>
      <c r="BZA43" s="155"/>
      <c r="BZB43" s="155"/>
      <c r="BZC43" s="155"/>
      <c r="BZD43" s="155"/>
      <c r="BZE43" s="155"/>
      <c r="BZF43" s="155"/>
      <c r="BZG43" s="155"/>
      <c r="BZH43" s="155"/>
      <c r="BZI43" s="155"/>
      <c r="BZJ43" s="155"/>
      <c r="BZK43" s="155"/>
      <c r="BZL43" s="155"/>
      <c r="BZM43" s="155"/>
      <c r="BZN43" s="155"/>
      <c r="BZO43" s="155"/>
      <c r="BZP43" s="155"/>
      <c r="BZQ43" s="155"/>
      <c r="BZR43" s="155"/>
      <c r="BZS43" s="155"/>
      <c r="BZT43" s="155"/>
      <c r="BZU43" s="155"/>
      <c r="BZV43" s="155"/>
      <c r="BZW43" s="155"/>
      <c r="BZX43" s="155"/>
      <c r="BZY43" s="155"/>
      <c r="BZZ43" s="155"/>
      <c r="CAA43" s="155"/>
      <c r="CAB43" s="155"/>
      <c r="CAC43" s="155"/>
      <c r="CAD43" s="155"/>
      <c r="CAE43" s="155"/>
      <c r="CAF43" s="155"/>
      <c r="CAG43" s="155"/>
      <c r="CAH43" s="155"/>
      <c r="CAI43" s="155"/>
      <c r="CAJ43" s="155"/>
      <c r="CAK43" s="155"/>
      <c r="CAL43" s="155"/>
      <c r="CAM43" s="155"/>
      <c r="CAN43" s="155"/>
      <c r="CAO43" s="155"/>
      <c r="CAP43" s="155"/>
      <c r="CAQ43" s="155"/>
      <c r="CAR43" s="155"/>
      <c r="CAS43" s="155"/>
      <c r="CAT43" s="155"/>
      <c r="CAU43" s="155"/>
      <c r="CAV43" s="155"/>
      <c r="CAW43" s="155"/>
      <c r="CAX43" s="155"/>
      <c r="CAY43" s="155"/>
      <c r="CAZ43" s="155"/>
      <c r="CBA43" s="155"/>
      <c r="CBB43" s="155"/>
      <c r="CBC43" s="155"/>
      <c r="CBD43" s="155"/>
      <c r="CBE43" s="155"/>
      <c r="CBF43" s="155"/>
      <c r="CBG43" s="155"/>
      <c r="CBH43" s="155"/>
      <c r="CBI43" s="155"/>
      <c r="CBJ43" s="155"/>
      <c r="CBK43" s="155"/>
      <c r="CBL43" s="155"/>
      <c r="CBM43" s="155"/>
      <c r="CBN43" s="155"/>
      <c r="CBO43" s="155"/>
      <c r="CBP43" s="155"/>
      <c r="CBQ43" s="155"/>
      <c r="CBR43" s="155"/>
      <c r="CBS43" s="155"/>
      <c r="CBT43" s="155"/>
      <c r="CBU43" s="155"/>
      <c r="CBV43" s="155"/>
      <c r="CBW43" s="155"/>
      <c r="CBX43" s="155"/>
      <c r="CBY43" s="155"/>
      <c r="CBZ43" s="155"/>
      <c r="CCA43" s="155"/>
      <c r="CCB43" s="155"/>
      <c r="CCC43" s="155"/>
      <c r="CCD43" s="155"/>
      <c r="CCE43" s="155"/>
      <c r="CCF43" s="155"/>
      <c r="CCG43" s="155"/>
      <c r="CCH43" s="155"/>
      <c r="CCI43" s="155"/>
      <c r="CCJ43" s="155"/>
      <c r="CCK43" s="155"/>
      <c r="CCL43" s="155"/>
      <c r="CCM43" s="155"/>
      <c r="CCN43" s="155"/>
      <c r="CCO43" s="155"/>
      <c r="CCP43" s="155"/>
      <c r="CCQ43" s="155"/>
      <c r="CCR43" s="155"/>
      <c r="CCS43" s="155"/>
      <c r="CCT43" s="155"/>
      <c r="CCU43" s="155"/>
      <c r="CCV43" s="155"/>
      <c r="CCW43" s="155"/>
      <c r="CCX43" s="155"/>
      <c r="CCY43" s="155"/>
      <c r="CCZ43" s="155"/>
      <c r="CDA43" s="155"/>
      <c r="CDB43" s="155"/>
      <c r="CDC43" s="155"/>
      <c r="CDD43" s="155"/>
      <c r="CDE43" s="155"/>
      <c r="CDF43" s="155"/>
      <c r="CDG43" s="155"/>
      <c r="CDH43" s="155"/>
      <c r="CDI43" s="155"/>
      <c r="CDJ43" s="155"/>
      <c r="CDK43" s="155"/>
      <c r="CDL43" s="155"/>
      <c r="CDM43" s="155"/>
      <c r="CDN43" s="155"/>
      <c r="CDO43" s="155"/>
      <c r="CDP43" s="155"/>
      <c r="CDQ43" s="155"/>
      <c r="CDR43" s="155"/>
      <c r="CDS43" s="155"/>
      <c r="CDT43" s="155"/>
      <c r="CDU43" s="155"/>
      <c r="CDV43" s="155"/>
      <c r="CDW43" s="155"/>
      <c r="CDX43" s="155"/>
      <c r="CDY43" s="155"/>
      <c r="CDZ43" s="155"/>
      <c r="CEA43" s="155"/>
      <c r="CEB43" s="155"/>
      <c r="CEC43" s="155"/>
      <c r="CED43" s="155"/>
      <c r="CEE43" s="155"/>
      <c r="CEF43" s="155"/>
      <c r="CEG43" s="155"/>
      <c r="CEH43" s="155"/>
      <c r="CEI43" s="155"/>
      <c r="CEJ43" s="155"/>
      <c r="CEK43" s="155"/>
      <c r="CEL43" s="155"/>
      <c r="CEM43" s="155"/>
      <c r="CEN43" s="155"/>
      <c r="CEO43" s="155"/>
      <c r="CEP43" s="155"/>
      <c r="CEQ43" s="155"/>
      <c r="CER43" s="155"/>
      <c r="CES43" s="155"/>
      <c r="CET43" s="155"/>
      <c r="CEU43" s="155"/>
      <c r="CEV43" s="155"/>
      <c r="CEW43" s="155"/>
      <c r="CEX43" s="155"/>
      <c r="CEY43" s="155"/>
      <c r="CEZ43" s="155"/>
      <c r="CFA43" s="155"/>
      <c r="CFB43" s="155"/>
      <c r="CFC43" s="155"/>
      <c r="CFD43" s="155"/>
      <c r="CFE43" s="155"/>
      <c r="CFF43" s="155"/>
      <c r="CFG43" s="155"/>
      <c r="CFH43" s="155"/>
      <c r="CFI43" s="155"/>
      <c r="CFJ43" s="155"/>
      <c r="CFK43" s="155"/>
      <c r="CFL43" s="155"/>
      <c r="CFM43" s="155"/>
      <c r="CFN43" s="155"/>
      <c r="CFO43" s="155"/>
      <c r="CFP43" s="155"/>
      <c r="CFQ43" s="155"/>
      <c r="CFR43" s="155"/>
      <c r="CFS43" s="155"/>
      <c r="CFT43" s="155"/>
      <c r="CFU43" s="155"/>
      <c r="CFV43" s="155"/>
      <c r="CFW43" s="155"/>
      <c r="CFX43" s="155"/>
      <c r="CFY43" s="155"/>
      <c r="CFZ43" s="155"/>
      <c r="CGA43" s="155"/>
      <c r="CGB43" s="155"/>
      <c r="CGC43" s="155"/>
      <c r="CGD43" s="155"/>
      <c r="CGE43" s="155"/>
      <c r="CGF43" s="155"/>
      <c r="CGG43" s="155"/>
      <c r="CGH43" s="155"/>
      <c r="CGI43" s="155"/>
      <c r="CGJ43" s="155"/>
      <c r="CGK43" s="155"/>
      <c r="CGL43" s="155"/>
      <c r="CGM43" s="155"/>
      <c r="CGN43" s="155"/>
      <c r="CGO43" s="155"/>
      <c r="CGP43" s="155"/>
      <c r="CGQ43" s="155"/>
      <c r="CGR43" s="155"/>
      <c r="CGS43" s="155"/>
      <c r="CGT43" s="155"/>
      <c r="CGU43" s="155"/>
      <c r="CGV43" s="155"/>
      <c r="CGW43" s="155"/>
      <c r="CGX43" s="155"/>
      <c r="CGY43" s="155"/>
      <c r="CGZ43" s="155"/>
      <c r="CHA43" s="155"/>
      <c r="CHB43" s="155"/>
      <c r="CHC43" s="155"/>
      <c r="CHD43" s="155"/>
      <c r="CHE43" s="155"/>
      <c r="CHF43" s="155"/>
      <c r="CHG43" s="155"/>
      <c r="CHH43" s="155"/>
      <c r="CHI43" s="155"/>
      <c r="CHJ43" s="155"/>
      <c r="CHK43" s="155"/>
      <c r="CHL43" s="155"/>
      <c r="CHM43" s="155"/>
      <c r="CHN43" s="155"/>
      <c r="CHO43" s="155"/>
      <c r="CHP43" s="155"/>
      <c r="CHQ43" s="155"/>
      <c r="CHR43" s="155"/>
      <c r="CHS43" s="155"/>
      <c r="CHT43" s="155"/>
      <c r="CHU43" s="155"/>
      <c r="CHV43" s="155"/>
      <c r="CHW43" s="155"/>
      <c r="CHX43" s="155"/>
      <c r="CHY43" s="155"/>
      <c r="CHZ43" s="155"/>
      <c r="CIA43" s="155"/>
      <c r="CIB43" s="155"/>
      <c r="CIC43" s="155"/>
      <c r="CID43" s="155"/>
      <c r="CIE43" s="155"/>
      <c r="CIF43" s="155"/>
      <c r="CIG43" s="155"/>
      <c r="CIH43" s="155"/>
      <c r="CII43" s="155"/>
      <c r="CIJ43" s="155"/>
      <c r="CIK43" s="155"/>
      <c r="CIL43" s="155"/>
      <c r="CIM43" s="155"/>
      <c r="CIN43" s="155"/>
      <c r="CIO43" s="155"/>
      <c r="CIP43" s="155"/>
      <c r="CIQ43" s="155"/>
      <c r="CIR43" s="155"/>
      <c r="CIS43" s="155"/>
      <c r="CIT43" s="155"/>
      <c r="CIU43" s="155"/>
      <c r="CIV43" s="155"/>
      <c r="CIW43" s="155"/>
      <c r="CIX43" s="155"/>
      <c r="CIY43" s="155"/>
      <c r="CIZ43" s="155"/>
      <c r="CJA43" s="155"/>
      <c r="CJB43" s="155"/>
      <c r="CJC43" s="155"/>
      <c r="CJD43" s="155"/>
      <c r="CJE43" s="155"/>
      <c r="CJF43" s="155"/>
      <c r="CJG43" s="155"/>
      <c r="CJH43" s="155"/>
      <c r="CJI43" s="155"/>
      <c r="CJJ43" s="155"/>
      <c r="CJK43" s="155"/>
      <c r="CJL43" s="155"/>
      <c r="CJM43" s="155"/>
      <c r="CJN43" s="155"/>
      <c r="CJO43" s="155"/>
      <c r="CJP43" s="155"/>
      <c r="CJQ43" s="155"/>
      <c r="CJR43" s="155"/>
      <c r="CJS43" s="155"/>
      <c r="CJT43" s="155"/>
      <c r="CJU43" s="155"/>
      <c r="CJV43" s="155"/>
      <c r="CJW43" s="155"/>
      <c r="CJX43" s="155"/>
      <c r="CJY43" s="155"/>
      <c r="CJZ43" s="155"/>
      <c r="CKA43" s="155"/>
      <c r="CKB43" s="155"/>
      <c r="CKC43" s="155"/>
      <c r="CKD43" s="155"/>
      <c r="CKE43" s="155"/>
      <c r="CKF43" s="155"/>
      <c r="CKG43" s="155"/>
      <c r="CKH43" s="155"/>
      <c r="CKI43" s="155"/>
      <c r="CKJ43" s="155"/>
      <c r="CKK43" s="155"/>
      <c r="CKL43" s="155"/>
      <c r="CKM43" s="155"/>
      <c r="CKN43" s="155"/>
      <c r="CKO43" s="155"/>
      <c r="CKP43" s="155"/>
      <c r="CKQ43" s="155"/>
      <c r="CKR43" s="155"/>
      <c r="CKS43" s="155"/>
      <c r="CKT43" s="155"/>
      <c r="CKU43" s="155"/>
      <c r="CKV43" s="155"/>
      <c r="CKW43" s="155"/>
      <c r="CKX43" s="155"/>
      <c r="CKY43" s="155"/>
      <c r="CKZ43" s="155"/>
      <c r="CLA43" s="155"/>
      <c r="CLB43" s="155"/>
      <c r="CLC43" s="155"/>
      <c r="CLD43" s="155"/>
      <c r="CLE43" s="155"/>
      <c r="CLF43" s="155"/>
      <c r="CLG43" s="155"/>
      <c r="CLH43" s="155"/>
      <c r="CLI43" s="155"/>
      <c r="CLJ43" s="155"/>
      <c r="CLK43" s="155"/>
      <c r="CLL43" s="155"/>
      <c r="CLM43" s="155"/>
      <c r="CLN43" s="155"/>
      <c r="CLO43" s="155"/>
      <c r="CLP43" s="155"/>
      <c r="CLQ43" s="155"/>
      <c r="CLR43" s="155"/>
      <c r="CLS43" s="155"/>
      <c r="CLT43" s="155"/>
      <c r="CLU43" s="155"/>
      <c r="CLV43" s="155"/>
      <c r="CLW43" s="155"/>
      <c r="CLX43" s="155"/>
      <c r="CLY43" s="155"/>
      <c r="CLZ43" s="155"/>
      <c r="CMA43" s="155"/>
      <c r="CMB43" s="155"/>
      <c r="CMC43" s="155"/>
      <c r="CMD43" s="155"/>
      <c r="CME43" s="155"/>
      <c r="CMF43" s="155"/>
      <c r="CMG43" s="155"/>
      <c r="CMH43" s="155"/>
      <c r="CMI43" s="155"/>
      <c r="CMJ43" s="155"/>
      <c r="CMK43" s="155"/>
      <c r="CML43" s="155"/>
      <c r="CMM43" s="155"/>
      <c r="CMN43" s="155"/>
      <c r="CMO43" s="155"/>
      <c r="CMP43" s="155"/>
      <c r="CMQ43" s="155"/>
      <c r="CMR43" s="155"/>
      <c r="CMS43" s="155"/>
      <c r="CMT43" s="155"/>
      <c r="CMU43" s="155"/>
      <c r="CMV43" s="155"/>
      <c r="CMW43" s="155"/>
      <c r="CMX43" s="155"/>
      <c r="CMY43" s="155"/>
      <c r="CMZ43" s="155"/>
      <c r="CNA43" s="155"/>
      <c r="CNB43" s="155"/>
      <c r="CNC43" s="155"/>
      <c r="CND43" s="155"/>
      <c r="CNE43" s="155"/>
      <c r="CNF43" s="155"/>
      <c r="CNG43" s="155"/>
      <c r="CNH43" s="155"/>
      <c r="CNI43" s="155"/>
      <c r="CNJ43" s="155"/>
      <c r="CNK43" s="155"/>
      <c r="CNL43" s="155"/>
      <c r="CNM43" s="155"/>
      <c r="CNN43" s="155"/>
      <c r="CNO43" s="155"/>
      <c r="CNP43" s="155"/>
      <c r="CNQ43" s="155"/>
      <c r="CNR43" s="155"/>
      <c r="CNS43" s="155"/>
      <c r="CNT43" s="155"/>
      <c r="CNU43" s="155"/>
      <c r="CNV43" s="155"/>
      <c r="CNW43" s="155"/>
      <c r="CNX43" s="155"/>
      <c r="CNY43" s="155"/>
      <c r="CNZ43" s="155"/>
      <c r="COA43" s="155"/>
      <c r="COB43" s="155"/>
      <c r="COC43" s="155"/>
      <c r="COD43" s="155"/>
      <c r="COE43" s="155"/>
      <c r="COF43" s="155"/>
      <c r="COG43" s="155"/>
      <c r="COH43" s="155"/>
      <c r="COI43" s="155"/>
      <c r="COJ43" s="155"/>
      <c r="COK43" s="155"/>
      <c r="COL43" s="155"/>
      <c r="COM43" s="155"/>
      <c r="CON43" s="155"/>
      <c r="COO43" s="155"/>
      <c r="COP43" s="155"/>
      <c r="COQ43" s="155"/>
      <c r="COR43" s="155"/>
      <c r="COS43" s="155"/>
      <c r="COT43" s="155"/>
      <c r="COU43" s="155"/>
      <c r="COV43" s="155"/>
      <c r="COW43" s="155"/>
      <c r="COX43" s="155"/>
      <c r="COY43" s="155"/>
      <c r="COZ43" s="155"/>
      <c r="CPA43" s="155"/>
      <c r="CPB43" s="155"/>
      <c r="CPC43" s="155"/>
      <c r="CPD43" s="155"/>
      <c r="CPE43" s="155"/>
      <c r="CPF43" s="155"/>
      <c r="CPG43" s="155"/>
      <c r="CPH43" s="155"/>
      <c r="CPI43" s="155"/>
      <c r="CPJ43" s="155"/>
      <c r="CPK43" s="155"/>
      <c r="CPL43" s="155"/>
      <c r="CPM43" s="155"/>
      <c r="CPN43" s="155"/>
      <c r="CPO43" s="155"/>
      <c r="CPP43" s="155"/>
      <c r="CPQ43" s="155"/>
      <c r="CPR43" s="155"/>
      <c r="CPS43" s="155"/>
      <c r="CPT43" s="155"/>
      <c r="CPU43" s="155"/>
      <c r="CPV43" s="155"/>
      <c r="CPW43" s="155"/>
      <c r="CPX43" s="155"/>
      <c r="CPY43" s="155"/>
      <c r="CPZ43" s="155"/>
      <c r="CQA43" s="155"/>
      <c r="CQB43" s="155"/>
      <c r="CQC43" s="155"/>
      <c r="CQD43" s="155"/>
      <c r="CQE43" s="155"/>
      <c r="CQF43" s="155"/>
      <c r="CQG43" s="155"/>
      <c r="CQH43" s="155"/>
      <c r="CQI43" s="155"/>
      <c r="CQJ43" s="155"/>
      <c r="CQK43" s="155"/>
      <c r="CQL43" s="155"/>
      <c r="CQM43" s="155"/>
      <c r="CQN43" s="155"/>
      <c r="CQO43" s="155"/>
      <c r="CQP43" s="155"/>
      <c r="CQQ43" s="155"/>
      <c r="CQR43" s="155"/>
      <c r="CQS43" s="155"/>
      <c r="CQT43" s="155"/>
      <c r="CQU43" s="155"/>
      <c r="CQV43" s="155"/>
      <c r="CQW43" s="155"/>
      <c r="CQX43" s="155"/>
      <c r="CQY43" s="155"/>
      <c r="CQZ43" s="155"/>
      <c r="CRA43" s="155"/>
      <c r="CRB43" s="155"/>
      <c r="CRC43" s="155"/>
      <c r="CRD43" s="155"/>
      <c r="CRE43" s="155"/>
      <c r="CRF43" s="155"/>
      <c r="CRG43" s="155"/>
      <c r="CRH43" s="155"/>
      <c r="CRI43" s="155"/>
      <c r="CRJ43" s="155"/>
      <c r="CRK43" s="155"/>
      <c r="CRL43" s="155"/>
      <c r="CRM43" s="155"/>
      <c r="CRN43" s="155"/>
      <c r="CRO43" s="155"/>
      <c r="CRP43" s="155"/>
      <c r="CRQ43" s="155"/>
      <c r="CRR43" s="155"/>
      <c r="CRS43" s="155"/>
      <c r="CRT43" s="155"/>
      <c r="CRU43" s="155"/>
      <c r="CRV43" s="155"/>
      <c r="CRW43" s="155"/>
      <c r="CRX43" s="155"/>
      <c r="CRY43" s="155"/>
      <c r="CRZ43" s="155"/>
      <c r="CSA43" s="155"/>
      <c r="CSB43" s="155"/>
      <c r="CSC43" s="155"/>
      <c r="CSD43" s="155"/>
      <c r="CSE43" s="155"/>
      <c r="CSF43" s="155"/>
      <c r="CSG43" s="155"/>
      <c r="CSH43" s="155"/>
      <c r="CSI43" s="155"/>
      <c r="CSJ43" s="155"/>
      <c r="CSK43" s="155"/>
      <c r="CSL43" s="155"/>
      <c r="CSM43" s="155"/>
      <c r="CSN43" s="155"/>
      <c r="CSO43" s="155"/>
      <c r="CSP43" s="155"/>
      <c r="CSQ43" s="155"/>
      <c r="CSR43" s="155"/>
      <c r="CSS43" s="155"/>
      <c r="CST43" s="155"/>
      <c r="CSU43" s="155"/>
      <c r="CSV43" s="155"/>
      <c r="CSW43" s="155"/>
      <c r="CSX43" s="155"/>
      <c r="CSY43" s="155"/>
      <c r="CSZ43" s="155"/>
      <c r="CTA43" s="155"/>
      <c r="CTB43" s="155"/>
      <c r="CTC43" s="155"/>
      <c r="CTD43" s="155"/>
      <c r="CTE43" s="155"/>
      <c r="CTF43" s="155"/>
      <c r="CTG43" s="155"/>
      <c r="CTH43" s="155"/>
      <c r="CTI43" s="155"/>
      <c r="CTJ43" s="155"/>
      <c r="CTK43" s="155"/>
      <c r="CTL43" s="155"/>
      <c r="CTM43" s="155"/>
      <c r="CTN43" s="155"/>
      <c r="CTO43" s="155"/>
      <c r="CTP43" s="155"/>
      <c r="CTQ43" s="155"/>
      <c r="CTR43" s="155"/>
      <c r="CTS43" s="155"/>
      <c r="CTT43" s="155"/>
      <c r="CTU43" s="155"/>
      <c r="CTV43" s="155"/>
      <c r="CTW43" s="155"/>
      <c r="CTX43" s="155"/>
      <c r="CTY43" s="155"/>
      <c r="CTZ43" s="155"/>
      <c r="CUA43" s="155"/>
      <c r="CUB43" s="155"/>
      <c r="CUC43" s="155"/>
      <c r="CUD43" s="155"/>
      <c r="CUE43" s="155"/>
      <c r="CUF43" s="155"/>
      <c r="CUG43" s="155"/>
      <c r="CUH43" s="155"/>
      <c r="CUI43" s="155"/>
      <c r="CUJ43" s="155"/>
      <c r="CUK43" s="155"/>
      <c r="CUL43" s="155"/>
      <c r="CUM43" s="155"/>
      <c r="CUN43" s="155"/>
      <c r="CUO43" s="155"/>
      <c r="CUP43" s="155"/>
      <c r="CUQ43" s="155"/>
      <c r="CUR43" s="155"/>
      <c r="CUS43" s="155"/>
      <c r="CUT43" s="155"/>
      <c r="CUU43" s="155"/>
      <c r="CUV43" s="155"/>
      <c r="CUW43" s="155"/>
      <c r="CUX43" s="155"/>
      <c r="CUY43" s="155"/>
      <c r="CUZ43" s="155"/>
      <c r="CVA43" s="155"/>
      <c r="CVB43" s="155"/>
      <c r="CVC43" s="155"/>
      <c r="CVD43" s="155"/>
      <c r="CVE43" s="155"/>
      <c r="CVF43" s="155"/>
      <c r="CVG43" s="155"/>
      <c r="CVH43" s="155"/>
      <c r="CVI43" s="155"/>
      <c r="CVJ43" s="155"/>
      <c r="CVK43" s="155"/>
      <c r="CVL43" s="155"/>
      <c r="CVM43" s="155"/>
      <c r="CVN43" s="155"/>
      <c r="CVO43" s="155"/>
      <c r="CVP43" s="155"/>
      <c r="CVQ43" s="155"/>
      <c r="CVR43" s="155"/>
      <c r="CVS43" s="155"/>
      <c r="CVT43" s="155"/>
      <c r="CVU43" s="155"/>
      <c r="CVV43" s="155"/>
      <c r="CVW43" s="155"/>
      <c r="CVX43" s="155"/>
      <c r="CVY43" s="155"/>
      <c r="CVZ43" s="155"/>
      <c r="CWA43" s="155"/>
      <c r="CWB43" s="155"/>
      <c r="CWC43" s="155"/>
      <c r="CWD43" s="155"/>
      <c r="CWE43" s="155"/>
      <c r="CWF43" s="155"/>
      <c r="CWG43" s="155"/>
      <c r="CWH43" s="155"/>
      <c r="CWI43" s="155"/>
      <c r="CWJ43" s="155"/>
      <c r="CWK43" s="155"/>
      <c r="CWL43" s="155"/>
      <c r="CWM43" s="155"/>
      <c r="CWN43" s="155"/>
      <c r="CWO43" s="155"/>
      <c r="CWP43" s="155"/>
      <c r="CWQ43" s="155"/>
      <c r="CWR43" s="155"/>
      <c r="CWS43" s="155"/>
      <c r="CWT43" s="155"/>
      <c r="CWU43" s="155"/>
      <c r="CWV43" s="155"/>
      <c r="CWW43" s="155"/>
      <c r="CWX43" s="155"/>
      <c r="CWY43" s="155"/>
      <c r="CWZ43" s="155"/>
      <c r="CXA43" s="155"/>
      <c r="CXB43" s="155"/>
      <c r="CXC43" s="155"/>
      <c r="CXD43" s="155"/>
      <c r="CXE43" s="155"/>
      <c r="CXF43" s="155"/>
      <c r="CXG43" s="155"/>
      <c r="CXH43" s="155"/>
      <c r="CXI43" s="155"/>
      <c r="CXJ43" s="155"/>
      <c r="CXK43" s="155"/>
      <c r="CXL43" s="155"/>
      <c r="CXM43" s="155"/>
      <c r="CXN43" s="155"/>
      <c r="CXO43" s="155"/>
      <c r="CXP43" s="155"/>
      <c r="CXQ43" s="155"/>
      <c r="CXR43" s="155"/>
      <c r="CXS43" s="155"/>
      <c r="CXT43" s="155"/>
      <c r="CXU43" s="155"/>
      <c r="CXV43" s="155"/>
      <c r="CXW43" s="155"/>
      <c r="CXX43" s="155"/>
      <c r="CXY43" s="155"/>
      <c r="CXZ43" s="155"/>
      <c r="CYA43" s="155"/>
      <c r="CYB43" s="155"/>
      <c r="CYC43" s="155"/>
      <c r="CYD43" s="155"/>
      <c r="CYE43" s="155"/>
      <c r="CYF43" s="155"/>
      <c r="CYG43" s="155"/>
      <c r="CYH43" s="155"/>
      <c r="CYI43" s="155"/>
      <c r="CYJ43" s="155"/>
      <c r="CYK43" s="155"/>
      <c r="CYL43" s="155"/>
      <c r="CYM43" s="155"/>
      <c r="CYN43" s="155"/>
      <c r="CYO43" s="155"/>
      <c r="CYP43" s="155"/>
      <c r="CYQ43" s="155"/>
      <c r="CYR43" s="155"/>
      <c r="CYS43" s="155"/>
      <c r="CYT43" s="155"/>
      <c r="CYU43" s="155"/>
      <c r="CYV43" s="155"/>
      <c r="CYW43" s="155"/>
      <c r="CYX43" s="155"/>
      <c r="CYY43" s="155"/>
      <c r="CYZ43" s="155"/>
      <c r="CZA43" s="155"/>
      <c r="CZB43" s="155"/>
      <c r="CZC43" s="155"/>
      <c r="CZD43" s="155"/>
      <c r="CZE43" s="155"/>
      <c r="CZF43" s="155"/>
      <c r="CZG43" s="155"/>
      <c r="CZH43" s="155"/>
      <c r="CZI43" s="155"/>
      <c r="CZJ43" s="155"/>
      <c r="CZK43" s="155"/>
      <c r="CZL43" s="155"/>
      <c r="CZM43" s="155"/>
      <c r="CZN43" s="155"/>
      <c r="CZO43" s="155"/>
      <c r="CZP43" s="155"/>
      <c r="CZQ43" s="155"/>
      <c r="CZR43" s="155"/>
      <c r="CZS43" s="155"/>
      <c r="CZT43" s="155"/>
      <c r="CZU43" s="155"/>
      <c r="CZV43" s="155"/>
      <c r="CZW43" s="155"/>
      <c r="CZX43" s="155"/>
      <c r="CZY43" s="155"/>
      <c r="CZZ43" s="155"/>
      <c r="DAA43" s="155"/>
      <c r="DAB43" s="155"/>
      <c r="DAC43" s="155"/>
      <c r="DAD43" s="155"/>
      <c r="DAE43" s="155"/>
      <c r="DAF43" s="155"/>
      <c r="DAG43" s="155"/>
      <c r="DAH43" s="155"/>
      <c r="DAI43" s="155"/>
      <c r="DAJ43" s="155"/>
      <c r="DAK43" s="155"/>
      <c r="DAL43" s="155"/>
      <c r="DAM43" s="155"/>
      <c r="DAN43" s="155"/>
      <c r="DAO43" s="155"/>
      <c r="DAP43" s="155"/>
      <c r="DAQ43" s="155"/>
      <c r="DAR43" s="155"/>
      <c r="DAS43" s="155"/>
      <c r="DAT43" s="155"/>
      <c r="DAU43" s="155"/>
      <c r="DAV43" s="155"/>
      <c r="DAW43" s="155"/>
      <c r="DAX43" s="155"/>
      <c r="DAY43" s="155"/>
      <c r="DAZ43" s="155"/>
      <c r="DBA43" s="155"/>
      <c r="DBB43" s="155"/>
      <c r="DBC43" s="155"/>
      <c r="DBD43" s="155"/>
      <c r="DBE43" s="155"/>
      <c r="DBF43" s="155"/>
      <c r="DBG43" s="155"/>
      <c r="DBH43" s="155"/>
      <c r="DBI43" s="155"/>
      <c r="DBJ43" s="155"/>
      <c r="DBK43" s="155"/>
      <c r="DBL43" s="155"/>
      <c r="DBM43" s="155"/>
      <c r="DBN43" s="155"/>
      <c r="DBO43" s="155"/>
      <c r="DBP43" s="155"/>
      <c r="DBQ43" s="155"/>
      <c r="DBR43" s="155"/>
      <c r="DBS43" s="155"/>
      <c r="DBT43" s="155"/>
      <c r="DBU43" s="155"/>
      <c r="DBV43" s="155"/>
      <c r="DBW43" s="155"/>
      <c r="DBX43" s="155"/>
      <c r="DBY43" s="155"/>
      <c r="DBZ43" s="155"/>
      <c r="DCA43" s="155"/>
      <c r="DCB43" s="155"/>
      <c r="DCC43" s="155"/>
      <c r="DCD43" s="155"/>
      <c r="DCE43" s="155"/>
      <c r="DCF43" s="155"/>
      <c r="DCG43" s="155"/>
      <c r="DCH43" s="155"/>
      <c r="DCI43" s="155"/>
      <c r="DCJ43" s="155"/>
      <c r="DCK43" s="155"/>
      <c r="DCL43" s="155"/>
      <c r="DCM43" s="155"/>
      <c r="DCN43" s="155"/>
      <c r="DCO43" s="155"/>
      <c r="DCP43" s="155"/>
      <c r="DCQ43" s="155"/>
      <c r="DCR43" s="155"/>
      <c r="DCS43" s="155"/>
      <c r="DCT43" s="155"/>
      <c r="DCU43" s="155"/>
      <c r="DCV43" s="155"/>
      <c r="DCW43" s="155"/>
      <c r="DCX43" s="155"/>
      <c r="DCY43" s="155"/>
      <c r="DCZ43" s="155"/>
      <c r="DDA43" s="155"/>
      <c r="DDB43" s="155"/>
      <c r="DDC43" s="155"/>
      <c r="DDD43" s="155"/>
      <c r="DDE43" s="155"/>
      <c r="DDF43" s="155"/>
      <c r="DDG43" s="155"/>
      <c r="DDH43" s="155"/>
      <c r="DDI43" s="155"/>
      <c r="DDJ43" s="155"/>
      <c r="DDK43" s="155"/>
      <c r="DDL43" s="155"/>
      <c r="DDM43" s="155"/>
      <c r="DDN43" s="155"/>
      <c r="DDO43" s="155"/>
      <c r="DDP43" s="155"/>
      <c r="DDQ43" s="155"/>
      <c r="DDR43" s="155"/>
      <c r="DDS43" s="155"/>
      <c r="DDT43" s="155"/>
      <c r="DDU43" s="155"/>
      <c r="DDV43" s="155"/>
      <c r="DDW43" s="155"/>
      <c r="DDX43" s="155"/>
      <c r="DDY43" s="155"/>
      <c r="DDZ43" s="155"/>
      <c r="DEA43" s="155"/>
      <c r="DEB43" s="155"/>
      <c r="DEC43" s="155"/>
      <c r="DED43" s="155"/>
      <c r="DEE43" s="155"/>
      <c r="DEF43" s="155"/>
      <c r="DEG43" s="155"/>
      <c r="DEH43" s="155"/>
      <c r="DEI43" s="155"/>
      <c r="DEJ43" s="155"/>
      <c r="DEK43" s="155"/>
      <c r="DEL43" s="155"/>
      <c r="DEM43" s="155"/>
      <c r="DEN43" s="155"/>
      <c r="DEO43" s="155"/>
      <c r="DEP43" s="155"/>
      <c r="DEQ43" s="155"/>
      <c r="DER43" s="155"/>
      <c r="DES43" s="155"/>
      <c r="DET43" s="155"/>
      <c r="DEU43" s="155"/>
      <c r="DEV43" s="155"/>
      <c r="DEW43" s="155"/>
      <c r="DEX43" s="155"/>
      <c r="DEY43" s="155"/>
      <c r="DEZ43" s="155"/>
      <c r="DFA43" s="155"/>
      <c r="DFB43" s="155"/>
      <c r="DFC43" s="155"/>
      <c r="DFD43" s="155"/>
      <c r="DFE43" s="155"/>
      <c r="DFF43" s="155"/>
      <c r="DFG43" s="155"/>
      <c r="DFH43" s="155"/>
      <c r="DFI43" s="155"/>
      <c r="DFJ43" s="155"/>
      <c r="DFK43" s="155"/>
      <c r="DFL43" s="155"/>
      <c r="DFM43" s="155"/>
      <c r="DFN43" s="155"/>
      <c r="DFO43" s="155"/>
      <c r="DFP43" s="155"/>
      <c r="DFQ43" s="155"/>
      <c r="DFR43" s="155"/>
      <c r="DFS43" s="155"/>
      <c r="DFT43" s="155"/>
      <c r="DFU43" s="155"/>
      <c r="DFV43" s="155"/>
      <c r="DFW43" s="155"/>
      <c r="DFX43" s="155"/>
      <c r="DFY43" s="155"/>
      <c r="DFZ43" s="155"/>
      <c r="DGA43" s="155"/>
      <c r="DGB43" s="155"/>
      <c r="DGC43" s="155"/>
      <c r="DGD43" s="155"/>
      <c r="DGE43" s="155"/>
      <c r="DGF43" s="155"/>
      <c r="DGG43" s="155"/>
      <c r="DGH43" s="155"/>
      <c r="DGI43" s="155"/>
      <c r="DGJ43" s="155"/>
      <c r="DGK43" s="155"/>
      <c r="DGL43" s="155"/>
      <c r="DGM43" s="155"/>
      <c r="DGN43" s="155"/>
      <c r="DGO43" s="155"/>
      <c r="DGP43" s="155"/>
      <c r="DGQ43" s="155"/>
      <c r="DGR43" s="155"/>
      <c r="DGS43" s="155"/>
      <c r="DGT43" s="155"/>
      <c r="DGU43" s="155"/>
      <c r="DGV43" s="155"/>
      <c r="DGW43" s="155"/>
      <c r="DGX43" s="155"/>
      <c r="DGY43" s="155"/>
      <c r="DGZ43" s="155"/>
      <c r="DHA43" s="155"/>
      <c r="DHB43" s="155"/>
      <c r="DHC43" s="155"/>
      <c r="DHD43" s="155"/>
      <c r="DHE43" s="155"/>
      <c r="DHF43" s="155"/>
      <c r="DHG43" s="155"/>
      <c r="DHH43" s="155"/>
      <c r="DHI43" s="155"/>
      <c r="DHJ43" s="155"/>
      <c r="DHK43" s="155"/>
      <c r="DHL43" s="155"/>
      <c r="DHM43" s="155"/>
      <c r="DHN43" s="155"/>
      <c r="DHO43" s="155"/>
      <c r="DHP43" s="155"/>
      <c r="DHQ43" s="155"/>
      <c r="DHR43" s="155"/>
      <c r="DHS43" s="155"/>
      <c r="DHT43" s="155"/>
      <c r="DHU43" s="155"/>
      <c r="DHV43" s="155"/>
      <c r="DHW43" s="155"/>
      <c r="DHX43" s="155"/>
      <c r="DHY43" s="155"/>
      <c r="DHZ43" s="155"/>
      <c r="DIA43" s="155"/>
      <c r="DIB43" s="155"/>
      <c r="DIC43" s="155"/>
      <c r="DID43" s="155"/>
      <c r="DIE43" s="155"/>
      <c r="DIF43" s="155"/>
      <c r="DIG43" s="155"/>
      <c r="DIH43" s="155"/>
      <c r="DII43" s="155"/>
      <c r="DIJ43" s="155"/>
      <c r="DIK43" s="155"/>
      <c r="DIL43" s="155"/>
      <c r="DIM43" s="155"/>
      <c r="DIN43" s="155"/>
      <c r="DIO43" s="155"/>
      <c r="DIP43" s="155"/>
      <c r="DIQ43" s="155"/>
      <c r="DIR43" s="155"/>
      <c r="DIS43" s="155"/>
      <c r="DIT43" s="155"/>
      <c r="DIU43" s="155"/>
      <c r="DIV43" s="155"/>
      <c r="DIW43" s="155"/>
      <c r="DIX43" s="155"/>
      <c r="DIY43" s="155"/>
      <c r="DIZ43" s="155"/>
      <c r="DJA43" s="155"/>
      <c r="DJB43" s="155"/>
      <c r="DJC43" s="155"/>
      <c r="DJD43" s="155"/>
      <c r="DJE43" s="155"/>
      <c r="DJF43" s="155"/>
      <c r="DJG43" s="155"/>
      <c r="DJH43" s="155"/>
      <c r="DJI43" s="155"/>
      <c r="DJJ43" s="155"/>
      <c r="DJK43" s="155"/>
      <c r="DJL43" s="155"/>
      <c r="DJM43" s="155"/>
      <c r="DJN43" s="155"/>
      <c r="DJO43" s="155"/>
      <c r="DJP43" s="155"/>
      <c r="DJQ43" s="155"/>
      <c r="DJR43" s="155"/>
      <c r="DJS43" s="155"/>
      <c r="DJT43" s="155"/>
      <c r="DJU43" s="155"/>
      <c r="DJV43" s="155"/>
      <c r="DJW43" s="155"/>
      <c r="DJX43" s="155"/>
      <c r="DJY43" s="155"/>
      <c r="DJZ43" s="155"/>
      <c r="DKA43" s="155"/>
      <c r="DKB43" s="155"/>
      <c r="DKC43" s="155"/>
      <c r="DKD43" s="155"/>
      <c r="DKE43" s="155"/>
      <c r="DKF43" s="155"/>
      <c r="DKG43" s="155"/>
      <c r="DKH43" s="155"/>
      <c r="DKI43" s="155"/>
      <c r="DKJ43" s="155"/>
      <c r="DKK43" s="155"/>
      <c r="DKL43" s="155"/>
      <c r="DKM43" s="155"/>
      <c r="DKN43" s="155"/>
      <c r="DKO43" s="155"/>
      <c r="DKP43" s="155"/>
      <c r="DKQ43" s="155"/>
      <c r="DKR43" s="155"/>
      <c r="DKS43" s="155"/>
      <c r="DKT43" s="155"/>
      <c r="DKU43" s="155"/>
      <c r="DKV43" s="155"/>
      <c r="DKW43" s="155"/>
      <c r="DKX43" s="155"/>
      <c r="DKY43" s="155"/>
      <c r="DKZ43" s="155"/>
      <c r="DLA43" s="155"/>
      <c r="DLB43" s="155"/>
      <c r="DLC43" s="155"/>
      <c r="DLD43" s="155"/>
      <c r="DLE43" s="155"/>
      <c r="DLF43" s="155"/>
      <c r="DLG43" s="155"/>
      <c r="DLH43" s="155"/>
      <c r="DLI43" s="155"/>
      <c r="DLJ43" s="155"/>
      <c r="DLK43" s="155"/>
      <c r="DLL43" s="155"/>
      <c r="DLM43" s="155"/>
      <c r="DLN43" s="155"/>
      <c r="DLO43" s="155"/>
      <c r="DLP43" s="155"/>
      <c r="DLQ43" s="155"/>
      <c r="DLR43" s="155"/>
      <c r="DLS43" s="155"/>
      <c r="DLT43" s="155"/>
      <c r="DLU43" s="155"/>
      <c r="DLV43" s="155"/>
      <c r="DLW43" s="155"/>
      <c r="DLX43" s="155"/>
      <c r="DLY43" s="155"/>
      <c r="DLZ43" s="155"/>
      <c r="DMA43" s="155"/>
      <c r="DMB43" s="155"/>
      <c r="DMC43" s="155"/>
      <c r="DMD43" s="155"/>
      <c r="DME43" s="155"/>
      <c r="DMF43" s="155"/>
      <c r="DMG43" s="155"/>
      <c r="DMH43" s="155"/>
      <c r="DMI43" s="155"/>
      <c r="DMJ43" s="155"/>
      <c r="DMK43" s="155"/>
      <c r="DML43" s="155"/>
      <c r="DMM43" s="155"/>
      <c r="DMN43" s="155"/>
      <c r="DMO43" s="155"/>
      <c r="DMP43" s="155"/>
      <c r="DMQ43" s="155"/>
      <c r="DMR43" s="155"/>
      <c r="DMS43" s="155"/>
      <c r="DMT43" s="155"/>
      <c r="DMU43" s="155"/>
      <c r="DMV43" s="155"/>
      <c r="DMW43" s="155"/>
      <c r="DMX43" s="155"/>
      <c r="DMY43" s="155"/>
      <c r="DMZ43" s="155"/>
      <c r="DNA43" s="155"/>
      <c r="DNB43" s="155"/>
      <c r="DNC43" s="155"/>
      <c r="DND43" s="155"/>
      <c r="DNE43" s="155"/>
      <c r="DNF43" s="155"/>
      <c r="DNG43" s="155"/>
      <c r="DNH43" s="155"/>
      <c r="DNI43" s="155"/>
      <c r="DNJ43" s="155"/>
      <c r="DNK43" s="155"/>
      <c r="DNL43" s="155"/>
      <c r="DNM43" s="155"/>
      <c r="DNN43" s="155"/>
      <c r="DNO43" s="155"/>
      <c r="DNP43" s="155"/>
      <c r="DNQ43" s="155"/>
      <c r="DNR43" s="155"/>
      <c r="DNS43" s="155"/>
      <c r="DNT43" s="155"/>
      <c r="DNU43" s="155"/>
      <c r="DNV43" s="155"/>
      <c r="DNW43" s="155"/>
      <c r="DNX43" s="155"/>
      <c r="DNY43" s="155"/>
      <c r="DNZ43" s="155"/>
      <c r="DOA43" s="155"/>
      <c r="DOB43" s="155"/>
      <c r="DOC43" s="155"/>
      <c r="DOD43" s="155"/>
      <c r="DOE43" s="155"/>
      <c r="DOF43" s="155"/>
      <c r="DOG43" s="155"/>
      <c r="DOH43" s="155"/>
      <c r="DOI43" s="155"/>
      <c r="DOJ43" s="155"/>
      <c r="DOK43" s="155"/>
      <c r="DOL43" s="155"/>
      <c r="DOM43" s="155"/>
      <c r="DON43" s="155"/>
      <c r="DOO43" s="155"/>
      <c r="DOP43" s="155"/>
      <c r="DOQ43" s="155"/>
      <c r="DOR43" s="155"/>
      <c r="DOS43" s="155"/>
      <c r="DOT43" s="155"/>
      <c r="DOU43" s="155"/>
      <c r="DOV43" s="155"/>
      <c r="DOW43" s="155"/>
      <c r="DOX43" s="155"/>
      <c r="DOY43" s="155"/>
      <c r="DOZ43" s="155"/>
      <c r="DPA43" s="155"/>
      <c r="DPB43" s="155"/>
      <c r="DPC43" s="155"/>
      <c r="DPD43" s="155"/>
      <c r="DPE43" s="155"/>
      <c r="DPF43" s="155"/>
      <c r="DPG43" s="155"/>
      <c r="DPH43" s="155"/>
      <c r="DPI43" s="155"/>
      <c r="DPJ43" s="155"/>
      <c r="DPK43" s="155"/>
      <c r="DPL43" s="155"/>
      <c r="DPM43" s="155"/>
      <c r="DPN43" s="155"/>
      <c r="DPO43" s="155"/>
      <c r="DPP43" s="155"/>
      <c r="DPQ43" s="155"/>
      <c r="DPR43" s="155"/>
      <c r="DPS43" s="155"/>
      <c r="DPT43" s="155"/>
      <c r="DPU43" s="155"/>
      <c r="DPV43" s="155"/>
      <c r="DPW43" s="155"/>
      <c r="DPX43" s="155"/>
      <c r="DPY43" s="155"/>
      <c r="DPZ43" s="155"/>
      <c r="DQA43" s="155"/>
      <c r="DQB43" s="155"/>
      <c r="DQC43" s="155"/>
      <c r="DQD43" s="155"/>
      <c r="DQE43" s="155"/>
      <c r="DQF43" s="155"/>
      <c r="DQG43" s="155"/>
      <c r="DQH43" s="155"/>
      <c r="DQI43" s="155"/>
      <c r="DQJ43" s="155"/>
      <c r="DQK43" s="155"/>
      <c r="DQL43" s="155"/>
      <c r="DQM43" s="155"/>
      <c r="DQN43" s="155"/>
      <c r="DQO43" s="155"/>
      <c r="DQP43" s="155"/>
      <c r="DQQ43" s="155"/>
      <c r="DQR43" s="155"/>
      <c r="DQS43" s="155"/>
      <c r="DQT43" s="155"/>
      <c r="DQU43" s="155"/>
      <c r="DQV43" s="155"/>
      <c r="DQW43" s="155"/>
      <c r="DQX43" s="155"/>
      <c r="DQY43" s="155"/>
      <c r="DQZ43" s="155"/>
      <c r="DRA43" s="155"/>
      <c r="DRB43" s="155"/>
      <c r="DRC43" s="155"/>
      <c r="DRD43" s="155"/>
      <c r="DRE43" s="155"/>
      <c r="DRF43" s="155"/>
      <c r="DRG43" s="155"/>
      <c r="DRH43" s="155"/>
      <c r="DRI43" s="155"/>
      <c r="DRJ43" s="155"/>
      <c r="DRK43" s="155"/>
      <c r="DRL43" s="155"/>
      <c r="DRM43" s="155"/>
      <c r="DRN43" s="155"/>
      <c r="DRO43" s="155"/>
      <c r="DRP43" s="155"/>
      <c r="DRQ43" s="155"/>
      <c r="DRR43" s="155"/>
      <c r="DRS43" s="155"/>
      <c r="DRT43" s="155"/>
      <c r="DRU43" s="155"/>
      <c r="DRV43" s="155"/>
      <c r="DRW43" s="155"/>
      <c r="DRX43" s="155"/>
      <c r="DRY43" s="155"/>
      <c r="DRZ43" s="155"/>
      <c r="DSA43" s="155"/>
      <c r="DSB43" s="155"/>
      <c r="DSC43" s="155"/>
      <c r="DSD43" s="155"/>
      <c r="DSE43" s="155"/>
      <c r="DSF43" s="155"/>
      <c r="DSG43" s="155"/>
      <c r="DSH43" s="155"/>
      <c r="DSI43" s="155"/>
      <c r="DSJ43" s="155"/>
      <c r="DSK43" s="155"/>
      <c r="DSL43" s="155"/>
      <c r="DSM43" s="155"/>
      <c r="DSN43" s="155"/>
      <c r="DSO43" s="155"/>
      <c r="DSP43" s="155"/>
      <c r="DSQ43" s="155"/>
      <c r="DSR43" s="155"/>
      <c r="DSS43" s="155"/>
      <c r="DST43" s="155"/>
      <c r="DSU43" s="155"/>
      <c r="DSV43" s="155"/>
      <c r="DSW43" s="155"/>
      <c r="DSX43" s="155"/>
      <c r="DSY43" s="155"/>
      <c r="DSZ43" s="155"/>
      <c r="DTA43" s="155"/>
      <c r="DTB43" s="155"/>
      <c r="DTC43" s="155"/>
      <c r="DTD43" s="155"/>
      <c r="DTE43" s="155"/>
      <c r="DTF43" s="155"/>
      <c r="DTG43" s="155"/>
      <c r="DTH43" s="155"/>
      <c r="DTI43" s="155"/>
      <c r="DTJ43" s="155"/>
      <c r="DTK43" s="155"/>
      <c r="DTL43" s="155"/>
      <c r="DTM43" s="155"/>
      <c r="DTN43" s="155"/>
      <c r="DTO43" s="155"/>
      <c r="DTP43" s="155"/>
      <c r="DTQ43" s="155"/>
      <c r="DTR43" s="155"/>
      <c r="DTS43" s="155"/>
      <c r="DTT43" s="155"/>
      <c r="DTU43" s="155"/>
      <c r="DTV43" s="155"/>
      <c r="DTW43" s="155"/>
      <c r="DTX43" s="155"/>
      <c r="DTY43" s="155"/>
      <c r="DTZ43" s="155"/>
      <c r="DUA43" s="155"/>
      <c r="DUB43" s="155"/>
      <c r="DUC43" s="155"/>
      <c r="DUD43" s="155"/>
      <c r="DUE43" s="155"/>
      <c r="DUF43" s="155"/>
      <c r="DUG43" s="155"/>
      <c r="DUH43" s="155"/>
      <c r="DUI43" s="155"/>
      <c r="DUJ43" s="155"/>
      <c r="DUK43" s="155"/>
      <c r="DUL43" s="155"/>
      <c r="DUM43" s="155"/>
      <c r="DUN43" s="155"/>
      <c r="DUO43" s="155"/>
      <c r="DUP43" s="155"/>
      <c r="DUQ43" s="155"/>
      <c r="DUR43" s="155"/>
      <c r="DUS43" s="155"/>
      <c r="DUT43" s="155"/>
      <c r="DUU43" s="155"/>
      <c r="DUV43" s="155"/>
      <c r="DUW43" s="155"/>
      <c r="DUX43" s="155"/>
      <c r="DUY43" s="155"/>
      <c r="DUZ43" s="155"/>
      <c r="DVA43" s="155"/>
      <c r="DVB43" s="155"/>
      <c r="DVC43" s="155"/>
      <c r="DVD43" s="155"/>
      <c r="DVE43" s="155"/>
      <c r="DVF43" s="155"/>
      <c r="DVG43" s="155"/>
      <c r="DVH43" s="155"/>
      <c r="DVI43" s="155"/>
      <c r="DVJ43" s="155"/>
      <c r="DVK43" s="155"/>
      <c r="DVL43" s="155"/>
      <c r="DVM43" s="155"/>
      <c r="DVN43" s="155"/>
      <c r="DVO43" s="155"/>
      <c r="DVP43" s="155"/>
      <c r="DVQ43" s="155"/>
      <c r="DVR43" s="155"/>
      <c r="DVS43" s="155"/>
      <c r="DVT43" s="155"/>
      <c r="DVU43" s="155"/>
      <c r="DVV43" s="155"/>
      <c r="DVW43" s="155"/>
      <c r="DVX43" s="155"/>
      <c r="DVY43" s="155"/>
      <c r="DVZ43" s="155"/>
      <c r="DWA43" s="155"/>
      <c r="DWB43" s="155"/>
      <c r="DWC43" s="155"/>
      <c r="DWD43" s="155"/>
      <c r="DWE43" s="155"/>
      <c r="DWF43" s="155"/>
      <c r="DWG43" s="155"/>
      <c r="DWH43" s="155"/>
      <c r="DWI43" s="155"/>
      <c r="DWJ43" s="155"/>
      <c r="DWK43" s="155"/>
      <c r="DWL43" s="155"/>
      <c r="DWM43" s="155"/>
      <c r="DWN43" s="155"/>
      <c r="DWO43" s="155"/>
      <c r="DWP43" s="155"/>
      <c r="DWQ43" s="155"/>
      <c r="DWR43" s="155"/>
      <c r="DWS43" s="155"/>
      <c r="DWT43" s="155"/>
      <c r="DWU43" s="155"/>
      <c r="DWV43" s="155"/>
      <c r="DWW43" s="155"/>
      <c r="DWX43" s="155"/>
      <c r="DWY43" s="155"/>
      <c r="DWZ43" s="155"/>
      <c r="DXA43" s="155"/>
      <c r="DXB43" s="155"/>
      <c r="DXC43" s="155"/>
      <c r="DXD43" s="155"/>
      <c r="DXE43" s="155"/>
      <c r="DXF43" s="155"/>
      <c r="DXG43" s="155"/>
      <c r="DXH43" s="155"/>
      <c r="DXI43" s="155"/>
      <c r="DXJ43" s="155"/>
      <c r="DXK43" s="155"/>
      <c r="DXL43" s="155"/>
      <c r="DXM43" s="155"/>
      <c r="DXN43" s="155"/>
      <c r="DXO43" s="155"/>
      <c r="DXP43" s="155"/>
      <c r="DXQ43" s="155"/>
      <c r="DXR43" s="155"/>
      <c r="DXS43" s="155"/>
      <c r="DXT43" s="155"/>
      <c r="DXU43" s="155"/>
      <c r="DXV43" s="155"/>
      <c r="DXW43" s="155"/>
      <c r="DXX43" s="155"/>
      <c r="DXY43" s="155"/>
      <c r="DXZ43" s="155"/>
      <c r="DYA43" s="155"/>
      <c r="DYB43" s="155"/>
      <c r="DYC43" s="155"/>
      <c r="DYD43" s="155"/>
      <c r="DYE43" s="155"/>
      <c r="DYF43" s="155"/>
      <c r="DYG43" s="155"/>
      <c r="DYH43" s="155"/>
      <c r="DYI43" s="155"/>
      <c r="DYJ43" s="155"/>
      <c r="DYK43" s="155"/>
      <c r="DYL43" s="155"/>
      <c r="DYM43" s="155"/>
      <c r="DYN43" s="155"/>
      <c r="DYO43" s="155"/>
      <c r="DYP43" s="155"/>
      <c r="DYQ43" s="155"/>
      <c r="DYR43" s="155"/>
      <c r="DYS43" s="155"/>
      <c r="DYT43" s="155"/>
      <c r="DYU43" s="155"/>
      <c r="DYV43" s="155"/>
      <c r="DYW43" s="155"/>
      <c r="DYX43" s="155"/>
      <c r="DYY43" s="155"/>
      <c r="DYZ43" s="155"/>
      <c r="DZA43" s="155"/>
      <c r="DZB43" s="155"/>
      <c r="DZC43" s="155"/>
      <c r="DZD43" s="155"/>
      <c r="DZE43" s="155"/>
      <c r="DZF43" s="155"/>
      <c r="DZG43" s="155"/>
      <c r="DZH43" s="155"/>
      <c r="DZI43" s="155"/>
      <c r="DZJ43" s="155"/>
      <c r="DZK43" s="155"/>
      <c r="DZL43" s="155"/>
      <c r="DZM43" s="155"/>
      <c r="DZN43" s="155"/>
      <c r="DZO43" s="155"/>
      <c r="DZP43" s="155"/>
      <c r="DZQ43" s="155"/>
      <c r="DZR43" s="155"/>
      <c r="DZS43" s="155"/>
      <c r="DZT43" s="155"/>
      <c r="DZU43" s="155"/>
      <c r="DZV43" s="155"/>
      <c r="DZW43" s="155"/>
      <c r="DZX43" s="155"/>
      <c r="DZY43" s="155"/>
      <c r="DZZ43" s="155"/>
      <c r="EAA43" s="155"/>
      <c r="EAB43" s="155"/>
      <c r="EAC43" s="155"/>
      <c r="EAD43" s="155"/>
      <c r="EAE43" s="155"/>
      <c r="EAF43" s="155"/>
      <c r="EAG43" s="155"/>
      <c r="EAH43" s="155"/>
      <c r="EAI43" s="155"/>
      <c r="EAJ43" s="155"/>
      <c r="EAK43" s="155"/>
      <c r="EAL43" s="155"/>
      <c r="EAM43" s="155"/>
      <c r="EAN43" s="155"/>
      <c r="EAO43" s="155"/>
      <c r="EAP43" s="155"/>
      <c r="EAQ43" s="155"/>
      <c r="EAR43" s="155"/>
      <c r="EAS43" s="155"/>
      <c r="EAT43" s="155"/>
      <c r="EAU43" s="155"/>
      <c r="EAV43" s="155"/>
      <c r="EAW43" s="155"/>
      <c r="EAX43" s="155"/>
      <c r="EAY43" s="155"/>
      <c r="EAZ43" s="155"/>
      <c r="EBA43" s="155"/>
      <c r="EBB43" s="155"/>
      <c r="EBC43" s="155"/>
      <c r="EBD43" s="155"/>
      <c r="EBE43" s="155"/>
      <c r="EBF43" s="155"/>
      <c r="EBG43" s="155"/>
      <c r="EBH43" s="155"/>
      <c r="EBI43" s="155"/>
      <c r="EBJ43" s="155"/>
      <c r="EBK43" s="155"/>
      <c r="EBL43" s="155"/>
      <c r="EBM43" s="155"/>
      <c r="EBN43" s="155"/>
      <c r="EBO43" s="155"/>
      <c r="EBP43" s="155"/>
      <c r="EBQ43" s="155"/>
      <c r="EBR43" s="155"/>
      <c r="EBS43" s="155"/>
      <c r="EBT43" s="155"/>
      <c r="EBU43" s="155"/>
      <c r="EBV43" s="155"/>
      <c r="EBW43" s="155"/>
      <c r="EBX43" s="155"/>
      <c r="EBY43" s="155"/>
      <c r="EBZ43" s="155"/>
      <c r="ECA43" s="155"/>
      <c r="ECB43" s="155"/>
      <c r="ECC43" s="155"/>
      <c r="ECD43" s="155"/>
      <c r="ECE43" s="155"/>
      <c r="ECF43" s="155"/>
      <c r="ECG43" s="155"/>
      <c r="ECH43" s="155"/>
      <c r="ECI43" s="155"/>
      <c r="ECJ43" s="155"/>
      <c r="ECK43" s="155"/>
      <c r="ECL43" s="155"/>
      <c r="ECM43" s="155"/>
      <c r="ECN43" s="155"/>
      <c r="ECO43" s="155"/>
      <c r="ECP43" s="155"/>
      <c r="ECQ43" s="155"/>
      <c r="ECR43" s="155"/>
      <c r="ECS43" s="155"/>
      <c r="ECT43" s="155"/>
      <c r="ECU43" s="155"/>
      <c r="ECV43" s="155"/>
      <c r="ECW43" s="155"/>
      <c r="ECX43" s="155"/>
      <c r="ECY43" s="155"/>
      <c r="ECZ43" s="155"/>
      <c r="EDA43" s="155"/>
      <c r="EDB43" s="155"/>
      <c r="EDC43" s="155"/>
      <c r="EDD43" s="155"/>
      <c r="EDE43" s="155"/>
      <c r="EDF43" s="155"/>
      <c r="EDG43" s="155"/>
      <c r="EDH43" s="155"/>
      <c r="EDI43" s="155"/>
      <c r="EDJ43" s="155"/>
      <c r="EDK43" s="155"/>
      <c r="EDL43" s="155"/>
      <c r="EDM43" s="155"/>
      <c r="EDN43" s="155"/>
      <c r="EDO43" s="155"/>
      <c r="EDP43" s="155"/>
      <c r="EDQ43" s="155"/>
      <c r="EDR43" s="155"/>
      <c r="EDS43" s="155"/>
      <c r="EDT43" s="155"/>
      <c r="EDU43" s="155"/>
      <c r="EDV43" s="155"/>
      <c r="EDW43" s="155"/>
      <c r="EDX43" s="155"/>
      <c r="EDY43" s="155"/>
      <c r="EDZ43" s="155"/>
      <c r="EEA43" s="155"/>
      <c r="EEB43" s="155"/>
      <c r="EEC43" s="155"/>
      <c r="EED43" s="155"/>
      <c r="EEE43" s="155"/>
      <c r="EEF43" s="155"/>
      <c r="EEG43" s="155"/>
      <c r="EEH43" s="155"/>
      <c r="EEI43" s="155"/>
      <c r="EEJ43" s="155"/>
      <c r="EEK43" s="155"/>
      <c r="EEL43" s="155"/>
      <c r="EEM43" s="155"/>
      <c r="EEN43" s="155"/>
      <c r="EEO43" s="155"/>
      <c r="EEP43" s="155"/>
      <c r="EEQ43" s="155"/>
      <c r="EER43" s="155"/>
      <c r="EES43" s="155"/>
      <c r="EET43" s="155"/>
      <c r="EEU43" s="155"/>
      <c r="EEV43" s="155"/>
      <c r="EEW43" s="155"/>
      <c r="EEX43" s="155"/>
      <c r="EEY43" s="155"/>
      <c r="EEZ43" s="155"/>
      <c r="EFA43" s="155"/>
      <c r="EFB43" s="155"/>
      <c r="EFC43" s="155"/>
      <c r="EFD43" s="155"/>
      <c r="EFE43" s="155"/>
      <c r="EFF43" s="155"/>
      <c r="EFG43" s="155"/>
      <c r="EFH43" s="155"/>
      <c r="EFI43" s="155"/>
      <c r="EFJ43" s="155"/>
      <c r="EFK43" s="155"/>
      <c r="EFL43" s="155"/>
      <c r="EFM43" s="155"/>
      <c r="EFN43" s="155"/>
      <c r="EFO43" s="155"/>
      <c r="EFP43" s="155"/>
      <c r="EFQ43" s="155"/>
      <c r="EFR43" s="155"/>
      <c r="EFS43" s="155"/>
      <c r="EFT43" s="155"/>
      <c r="EFU43" s="155"/>
      <c r="EFV43" s="155"/>
      <c r="EFW43" s="155"/>
      <c r="EFX43" s="155"/>
      <c r="EFY43" s="155"/>
      <c r="EFZ43" s="155"/>
      <c r="EGA43" s="155"/>
      <c r="EGB43" s="155"/>
      <c r="EGC43" s="155"/>
      <c r="EGD43" s="155"/>
      <c r="EGE43" s="155"/>
      <c r="EGF43" s="155"/>
      <c r="EGG43" s="155"/>
      <c r="EGH43" s="155"/>
      <c r="EGI43" s="155"/>
      <c r="EGJ43" s="155"/>
      <c r="EGK43" s="155"/>
      <c r="EGL43" s="155"/>
      <c r="EGM43" s="155"/>
      <c r="EGN43" s="155"/>
      <c r="EGO43" s="155"/>
      <c r="EGP43" s="155"/>
      <c r="EGQ43" s="155"/>
      <c r="EGR43" s="155"/>
      <c r="EGS43" s="155"/>
      <c r="EGT43" s="155"/>
      <c r="EGU43" s="155"/>
      <c r="EGV43" s="155"/>
      <c r="EGW43" s="155"/>
      <c r="EGX43" s="155"/>
      <c r="EGY43" s="155"/>
      <c r="EGZ43" s="155"/>
      <c r="EHA43" s="155"/>
      <c r="EHB43" s="155"/>
      <c r="EHC43" s="155"/>
      <c r="EHD43" s="155"/>
      <c r="EHE43" s="155"/>
      <c r="EHF43" s="155"/>
      <c r="EHG43" s="155"/>
      <c r="EHH43" s="155"/>
      <c r="EHI43" s="155"/>
      <c r="EHJ43" s="155"/>
      <c r="EHK43" s="155"/>
      <c r="EHL43" s="155"/>
      <c r="EHM43" s="155"/>
      <c r="EHN43" s="155"/>
      <c r="EHO43" s="155"/>
      <c r="EHP43" s="155"/>
      <c r="EHQ43" s="155"/>
      <c r="EHR43" s="155"/>
      <c r="EHS43" s="155"/>
      <c r="EHT43" s="155"/>
      <c r="EHU43" s="155"/>
      <c r="EHV43" s="155"/>
      <c r="EHW43" s="155"/>
      <c r="EHX43" s="155"/>
      <c r="EHY43" s="155"/>
      <c r="EHZ43" s="155"/>
      <c r="EIA43" s="155"/>
      <c r="EIB43" s="155"/>
      <c r="EIC43" s="155"/>
      <c r="EID43" s="155"/>
      <c r="EIE43" s="155"/>
      <c r="EIF43" s="155"/>
      <c r="EIG43" s="155"/>
      <c r="EIH43" s="155"/>
      <c r="EII43" s="155"/>
      <c r="EIJ43" s="155"/>
      <c r="EIK43" s="155"/>
      <c r="EIL43" s="155"/>
      <c r="EIM43" s="155"/>
      <c r="EIN43" s="155"/>
      <c r="EIO43" s="155"/>
      <c r="EIP43" s="155"/>
      <c r="EIQ43" s="155"/>
      <c r="EIR43" s="155"/>
      <c r="EIS43" s="155"/>
      <c r="EIT43" s="155"/>
      <c r="EIU43" s="155"/>
      <c r="EIV43" s="155"/>
      <c r="EIW43" s="155"/>
      <c r="EIX43" s="155"/>
      <c r="EIY43" s="155"/>
      <c r="EIZ43" s="155"/>
      <c r="EJA43" s="155"/>
      <c r="EJB43" s="155"/>
      <c r="EJC43" s="155"/>
      <c r="EJD43" s="155"/>
      <c r="EJE43" s="155"/>
      <c r="EJF43" s="155"/>
      <c r="EJG43" s="155"/>
      <c r="EJH43" s="155"/>
      <c r="EJI43" s="155"/>
      <c r="EJJ43" s="155"/>
      <c r="EJK43" s="155"/>
      <c r="EJL43" s="155"/>
      <c r="EJM43" s="155"/>
      <c r="EJN43" s="155"/>
      <c r="EJO43" s="155"/>
      <c r="EJP43" s="155"/>
      <c r="EJQ43" s="155"/>
      <c r="EJR43" s="155"/>
      <c r="EJS43" s="155"/>
      <c r="EJT43" s="155"/>
      <c r="EJU43" s="155"/>
      <c r="EJV43" s="155"/>
      <c r="EJW43" s="155"/>
      <c r="EJX43" s="155"/>
      <c r="EJY43" s="155"/>
      <c r="EJZ43" s="155"/>
      <c r="EKA43" s="155"/>
      <c r="EKB43" s="155"/>
      <c r="EKC43" s="155"/>
      <c r="EKD43" s="155"/>
      <c r="EKE43" s="155"/>
      <c r="EKF43" s="155"/>
      <c r="EKG43" s="155"/>
      <c r="EKH43" s="155"/>
      <c r="EKI43" s="155"/>
      <c r="EKJ43" s="155"/>
      <c r="EKK43" s="155"/>
      <c r="EKL43" s="155"/>
      <c r="EKM43" s="155"/>
      <c r="EKN43" s="155"/>
      <c r="EKO43" s="155"/>
      <c r="EKP43" s="155"/>
      <c r="EKQ43" s="155"/>
      <c r="EKR43" s="155"/>
      <c r="EKS43" s="155"/>
      <c r="EKT43" s="155"/>
      <c r="EKU43" s="155"/>
      <c r="EKV43" s="155"/>
      <c r="EKW43" s="155"/>
      <c r="EKX43" s="155"/>
      <c r="EKY43" s="155"/>
      <c r="EKZ43" s="155"/>
      <c r="ELA43" s="155"/>
      <c r="ELB43" s="155"/>
      <c r="ELC43" s="155"/>
      <c r="ELD43" s="155"/>
      <c r="ELE43" s="155"/>
      <c r="ELF43" s="155"/>
      <c r="ELG43" s="155"/>
      <c r="ELH43" s="155"/>
      <c r="ELI43" s="155"/>
      <c r="ELJ43" s="155"/>
      <c r="ELK43" s="155"/>
      <c r="ELL43" s="155"/>
      <c r="ELM43" s="155"/>
      <c r="ELN43" s="155"/>
      <c r="ELO43" s="155"/>
      <c r="ELP43" s="155"/>
      <c r="ELQ43" s="155"/>
      <c r="ELR43" s="155"/>
      <c r="ELS43" s="155"/>
      <c r="ELT43" s="155"/>
      <c r="ELU43" s="155"/>
      <c r="ELV43" s="155"/>
      <c r="ELW43" s="155"/>
      <c r="ELX43" s="155"/>
      <c r="ELY43" s="155"/>
      <c r="ELZ43" s="155"/>
      <c r="EMA43" s="155"/>
      <c r="EMB43" s="155"/>
      <c r="EMC43" s="155"/>
      <c r="EMD43" s="155"/>
      <c r="EME43" s="155"/>
      <c r="EMF43" s="155"/>
      <c r="EMG43" s="155"/>
      <c r="EMH43" s="155"/>
      <c r="EMI43" s="155"/>
      <c r="EMJ43" s="155"/>
      <c r="EMK43" s="155"/>
      <c r="EML43" s="155"/>
      <c r="EMM43" s="155"/>
      <c r="EMN43" s="155"/>
      <c r="EMO43" s="155"/>
      <c r="EMP43" s="155"/>
      <c r="EMQ43" s="155"/>
      <c r="EMR43" s="155"/>
      <c r="EMS43" s="155"/>
      <c r="EMT43" s="155"/>
      <c r="EMU43" s="155"/>
      <c r="EMV43" s="155"/>
      <c r="EMW43" s="155"/>
      <c r="EMX43" s="155"/>
      <c r="EMY43" s="155"/>
      <c r="EMZ43" s="155"/>
      <c r="ENA43" s="155"/>
      <c r="ENB43" s="155"/>
      <c r="ENC43" s="155"/>
      <c r="END43" s="155"/>
      <c r="ENE43" s="155"/>
      <c r="ENF43" s="155"/>
      <c r="ENG43" s="155"/>
      <c r="ENH43" s="155"/>
      <c r="ENI43" s="155"/>
      <c r="ENJ43" s="155"/>
      <c r="ENK43" s="155"/>
      <c r="ENL43" s="155"/>
      <c r="ENM43" s="155"/>
      <c r="ENN43" s="155"/>
      <c r="ENO43" s="155"/>
      <c r="ENP43" s="155"/>
      <c r="ENQ43" s="155"/>
      <c r="ENR43" s="155"/>
      <c r="ENS43" s="155"/>
      <c r="ENT43" s="155"/>
      <c r="ENU43" s="155"/>
      <c r="ENV43" s="155"/>
      <c r="ENW43" s="155"/>
      <c r="ENX43" s="155"/>
      <c r="ENY43" s="155"/>
      <c r="ENZ43" s="155"/>
      <c r="EOA43" s="155"/>
      <c r="EOB43" s="155"/>
      <c r="EOC43" s="155"/>
      <c r="EOD43" s="155"/>
      <c r="EOE43" s="155"/>
      <c r="EOF43" s="155"/>
      <c r="EOG43" s="155"/>
      <c r="EOH43" s="155"/>
      <c r="EOI43" s="155"/>
      <c r="EOJ43" s="155"/>
      <c r="EOK43" s="155"/>
      <c r="EOL43" s="155"/>
      <c r="EOM43" s="155"/>
      <c r="EON43" s="155"/>
      <c r="EOO43" s="155"/>
      <c r="EOP43" s="155"/>
      <c r="EOQ43" s="155"/>
      <c r="EOR43" s="155"/>
      <c r="EOS43" s="155"/>
      <c r="EOT43" s="155"/>
      <c r="EOU43" s="155"/>
      <c r="EOV43" s="155"/>
      <c r="EOW43" s="155"/>
      <c r="EOX43" s="155"/>
      <c r="EOY43" s="155"/>
      <c r="EOZ43" s="155"/>
      <c r="EPA43" s="155"/>
      <c r="EPB43" s="155"/>
      <c r="EPC43" s="155"/>
      <c r="EPD43" s="155"/>
      <c r="EPE43" s="155"/>
      <c r="EPF43" s="155"/>
      <c r="EPG43" s="155"/>
      <c r="EPH43" s="155"/>
      <c r="EPI43" s="155"/>
      <c r="EPJ43" s="155"/>
      <c r="EPK43" s="155"/>
      <c r="EPL43" s="155"/>
      <c r="EPM43" s="155"/>
      <c r="EPN43" s="155"/>
      <c r="EPO43" s="155"/>
      <c r="EPP43" s="155"/>
      <c r="EPQ43" s="155"/>
      <c r="EPR43" s="155"/>
      <c r="EPS43" s="155"/>
      <c r="EPT43" s="155"/>
      <c r="EPU43" s="155"/>
      <c r="EPV43" s="155"/>
      <c r="EPW43" s="155"/>
      <c r="EPX43" s="155"/>
      <c r="EPY43" s="155"/>
      <c r="EPZ43" s="155"/>
      <c r="EQA43" s="155"/>
      <c r="EQB43" s="155"/>
      <c r="EQC43" s="155"/>
      <c r="EQD43" s="155"/>
      <c r="EQE43" s="155"/>
      <c r="EQF43" s="155"/>
      <c r="EQG43" s="155"/>
      <c r="EQH43" s="155"/>
      <c r="EQI43" s="155"/>
      <c r="EQJ43" s="155"/>
      <c r="EQK43" s="155"/>
      <c r="EQL43" s="155"/>
      <c r="EQM43" s="155"/>
      <c r="EQN43" s="155"/>
      <c r="EQO43" s="155"/>
      <c r="EQP43" s="155"/>
      <c r="EQQ43" s="155"/>
      <c r="EQR43" s="155"/>
      <c r="EQS43" s="155"/>
      <c r="EQT43" s="155"/>
      <c r="EQU43" s="155"/>
      <c r="EQV43" s="155"/>
      <c r="EQW43" s="155"/>
      <c r="EQX43" s="155"/>
      <c r="EQY43" s="155"/>
      <c r="EQZ43" s="155"/>
      <c r="ERA43" s="155"/>
      <c r="ERB43" s="155"/>
      <c r="ERC43" s="155"/>
      <c r="ERD43" s="155"/>
      <c r="ERE43" s="155"/>
      <c r="ERF43" s="155"/>
      <c r="ERG43" s="155"/>
      <c r="ERH43" s="155"/>
      <c r="ERI43" s="155"/>
      <c r="ERJ43" s="155"/>
      <c r="ERK43" s="155"/>
      <c r="ERL43" s="155"/>
      <c r="ERM43" s="155"/>
      <c r="ERN43" s="155"/>
      <c r="ERO43" s="155"/>
      <c r="ERP43" s="155"/>
      <c r="ERQ43" s="155"/>
      <c r="ERR43" s="155"/>
      <c r="ERS43" s="155"/>
      <c r="ERT43" s="155"/>
      <c r="ERU43" s="155"/>
      <c r="ERV43" s="155"/>
      <c r="ERW43" s="155"/>
      <c r="ERX43" s="155"/>
      <c r="ERY43" s="155"/>
      <c r="ERZ43" s="155"/>
      <c r="ESA43" s="155"/>
      <c r="ESB43" s="155"/>
      <c r="ESC43" s="155"/>
      <c r="ESD43" s="155"/>
      <c r="ESE43" s="155"/>
      <c r="ESF43" s="155"/>
      <c r="ESG43" s="155"/>
      <c r="ESH43" s="155"/>
      <c r="ESI43" s="155"/>
      <c r="ESJ43" s="155"/>
      <c r="ESK43" s="155"/>
      <c r="ESL43" s="155"/>
      <c r="ESM43" s="155"/>
      <c r="ESN43" s="155"/>
      <c r="ESO43" s="155"/>
      <c r="ESP43" s="155"/>
      <c r="ESQ43" s="155"/>
      <c r="ESR43" s="155"/>
      <c r="ESS43" s="155"/>
      <c r="EST43" s="155"/>
      <c r="ESU43" s="155"/>
      <c r="ESV43" s="155"/>
      <c r="ESW43" s="155"/>
      <c r="ESX43" s="155"/>
      <c r="ESY43" s="155"/>
      <c r="ESZ43" s="155"/>
      <c r="ETA43" s="155"/>
      <c r="ETB43" s="155"/>
      <c r="ETC43" s="155"/>
      <c r="ETD43" s="155"/>
      <c r="ETE43" s="155"/>
      <c r="ETF43" s="155"/>
      <c r="ETG43" s="155"/>
      <c r="ETH43" s="155"/>
      <c r="ETI43" s="155"/>
      <c r="ETJ43" s="155"/>
      <c r="ETK43" s="155"/>
      <c r="ETL43" s="155"/>
      <c r="ETM43" s="155"/>
      <c r="ETN43" s="155"/>
      <c r="ETO43" s="155"/>
      <c r="ETP43" s="155"/>
      <c r="ETQ43" s="155"/>
      <c r="ETR43" s="155"/>
      <c r="ETS43" s="155"/>
      <c r="ETT43" s="155"/>
      <c r="ETU43" s="155"/>
      <c r="ETV43" s="155"/>
      <c r="ETW43" s="155"/>
      <c r="ETX43" s="155"/>
      <c r="ETY43" s="155"/>
      <c r="ETZ43" s="155"/>
      <c r="EUA43" s="155"/>
      <c r="EUB43" s="155"/>
      <c r="EUC43" s="155"/>
      <c r="EUD43" s="155"/>
      <c r="EUE43" s="155"/>
      <c r="EUF43" s="155"/>
      <c r="EUG43" s="155"/>
      <c r="EUH43" s="155"/>
      <c r="EUI43" s="155"/>
      <c r="EUJ43" s="155"/>
      <c r="EUK43" s="155"/>
      <c r="EUL43" s="155"/>
      <c r="EUM43" s="155"/>
      <c r="EUN43" s="155"/>
      <c r="EUO43" s="155"/>
      <c r="EUP43" s="155"/>
      <c r="EUQ43" s="155"/>
      <c r="EUR43" s="155"/>
      <c r="EUS43" s="155"/>
      <c r="EUT43" s="155"/>
      <c r="EUU43" s="155"/>
      <c r="EUV43" s="155"/>
      <c r="EUW43" s="155"/>
      <c r="EUX43" s="155"/>
      <c r="EUY43" s="155"/>
      <c r="EUZ43" s="155"/>
      <c r="EVA43" s="155"/>
      <c r="EVB43" s="155"/>
      <c r="EVC43" s="155"/>
      <c r="EVD43" s="155"/>
      <c r="EVE43" s="155"/>
      <c r="EVF43" s="155"/>
      <c r="EVG43" s="155"/>
      <c r="EVH43" s="155"/>
      <c r="EVI43" s="155"/>
      <c r="EVJ43" s="155"/>
      <c r="EVK43" s="155"/>
      <c r="EVL43" s="155"/>
      <c r="EVM43" s="155"/>
      <c r="EVN43" s="155"/>
      <c r="EVO43" s="155"/>
      <c r="EVP43" s="155"/>
      <c r="EVQ43" s="155"/>
      <c r="EVR43" s="155"/>
      <c r="EVS43" s="155"/>
      <c r="EVT43" s="155"/>
      <c r="EVU43" s="155"/>
      <c r="EVV43" s="155"/>
      <c r="EVW43" s="155"/>
      <c r="EVX43" s="155"/>
      <c r="EVY43" s="155"/>
      <c r="EVZ43" s="155"/>
      <c r="EWA43" s="155"/>
      <c r="EWB43" s="155"/>
      <c r="EWC43" s="155"/>
      <c r="EWD43" s="155"/>
      <c r="EWE43" s="155"/>
      <c r="EWF43" s="155"/>
      <c r="EWG43" s="155"/>
      <c r="EWH43" s="155"/>
      <c r="EWI43" s="155"/>
      <c r="EWJ43" s="155"/>
      <c r="EWK43" s="155"/>
      <c r="EWL43" s="155"/>
      <c r="EWM43" s="155"/>
      <c r="EWN43" s="155"/>
      <c r="EWO43" s="155"/>
      <c r="EWP43" s="155"/>
      <c r="EWQ43" s="155"/>
      <c r="EWR43" s="155"/>
      <c r="EWS43" s="155"/>
      <c r="EWT43" s="155"/>
      <c r="EWU43" s="155"/>
      <c r="EWV43" s="155"/>
      <c r="EWW43" s="155"/>
      <c r="EWX43" s="155"/>
      <c r="EWY43" s="155"/>
      <c r="EWZ43" s="155"/>
      <c r="EXA43" s="155"/>
      <c r="EXB43" s="155"/>
      <c r="EXC43" s="155"/>
      <c r="EXD43" s="155"/>
      <c r="EXE43" s="155"/>
      <c r="EXF43" s="155"/>
      <c r="EXG43" s="155"/>
      <c r="EXH43" s="155"/>
      <c r="EXI43" s="155"/>
      <c r="EXJ43" s="155"/>
      <c r="EXK43" s="155"/>
      <c r="EXL43" s="155"/>
      <c r="EXM43" s="155"/>
      <c r="EXN43" s="155"/>
      <c r="EXO43" s="155"/>
      <c r="EXP43" s="155"/>
      <c r="EXQ43" s="155"/>
      <c r="EXR43" s="155"/>
      <c r="EXS43" s="155"/>
      <c r="EXT43" s="155"/>
      <c r="EXU43" s="155"/>
      <c r="EXV43" s="155"/>
      <c r="EXW43" s="155"/>
      <c r="EXX43" s="155"/>
      <c r="EXY43" s="155"/>
      <c r="EXZ43" s="155"/>
      <c r="EYA43" s="155"/>
      <c r="EYB43" s="155"/>
      <c r="EYC43" s="155"/>
      <c r="EYD43" s="155"/>
      <c r="EYE43" s="155"/>
      <c r="EYF43" s="155"/>
      <c r="EYG43" s="155"/>
      <c r="EYH43" s="155"/>
      <c r="EYI43" s="155"/>
      <c r="EYJ43" s="155"/>
      <c r="EYK43" s="155"/>
      <c r="EYL43" s="155"/>
      <c r="EYM43" s="155"/>
      <c r="EYN43" s="155"/>
      <c r="EYO43" s="155"/>
      <c r="EYP43" s="155"/>
      <c r="EYQ43" s="155"/>
      <c r="EYR43" s="155"/>
      <c r="EYS43" s="155"/>
      <c r="EYT43" s="155"/>
      <c r="EYU43" s="155"/>
      <c r="EYV43" s="155"/>
      <c r="EYW43" s="155"/>
      <c r="EYX43" s="155"/>
      <c r="EYY43" s="155"/>
      <c r="EYZ43" s="155"/>
      <c r="EZA43" s="155"/>
      <c r="EZB43" s="155"/>
      <c r="EZC43" s="155"/>
      <c r="EZD43" s="155"/>
      <c r="EZE43" s="155"/>
      <c r="EZF43" s="155"/>
      <c r="EZG43" s="155"/>
      <c r="EZH43" s="155"/>
      <c r="EZI43" s="155"/>
      <c r="EZJ43" s="155"/>
      <c r="EZK43" s="155"/>
      <c r="EZL43" s="155"/>
      <c r="EZM43" s="155"/>
      <c r="EZN43" s="155"/>
      <c r="EZO43" s="155"/>
      <c r="EZP43" s="155"/>
      <c r="EZQ43" s="155"/>
      <c r="EZR43" s="155"/>
      <c r="EZS43" s="155"/>
      <c r="EZT43" s="155"/>
      <c r="EZU43" s="155"/>
      <c r="EZV43" s="155"/>
      <c r="EZW43" s="155"/>
      <c r="EZX43" s="155"/>
      <c r="EZY43" s="155"/>
      <c r="EZZ43" s="155"/>
      <c r="FAA43" s="155"/>
      <c r="FAB43" s="155"/>
      <c r="FAC43" s="155"/>
      <c r="FAD43" s="155"/>
      <c r="FAE43" s="155"/>
      <c r="FAF43" s="155"/>
      <c r="FAG43" s="155"/>
      <c r="FAH43" s="155"/>
      <c r="FAI43" s="155"/>
      <c r="FAJ43" s="155"/>
      <c r="FAK43" s="155"/>
      <c r="FAL43" s="155"/>
      <c r="FAM43" s="155"/>
      <c r="FAN43" s="155"/>
      <c r="FAO43" s="155"/>
      <c r="FAP43" s="155"/>
      <c r="FAQ43" s="155"/>
      <c r="FAR43" s="155"/>
      <c r="FAS43" s="155"/>
      <c r="FAT43" s="155"/>
      <c r="FAU43" s="155"/>
      <c r="FAV43" s="155"/>
      <c r="FAW43" s="155"/>
      <c r="FAX43" s="155"/>
      <c r="FAY43" s="155"/>
      <c r="FAZ43" s="155"/>
      <c r="FBA43" s="155"/>
      <c r="FBB43" s="155"/>
      <c r="FBC43" s="155"/>
      <c r="FBD43" s="155"/>
      <c r="FBE43" s="155"/>
      <c r="FBF43" s="155"/>
      <c r="FBG43" s="155"/>
      <c r="FBH43" s="155"/>
      <c r="FBI43" s="155"/>
      <c r="FBJ43" s="155"/>
      <c r="FBK43" s="155"/>
      <c r="FBL43" s="155"/>
      <c r="FBM43" s="155"/>
      <c r="FBN43" s="155"/>
      <c r="FBO43" s="155"/>
      <c r="FBP43" s="155"/>
      <c r="FBQ43" s="155"/>
      <c r="FBR43" s="155"/>
      <c r="FBS43" s="155"/>
      <c r="FBT43" s="155"/>
      <c r="FBU43" s="155"/>
      <c r="FBV43" s="155"/>
      <c r="FBW43" s="155"/>
      <c r="FBX43" s="155"/>
      <c r="FBY43" s="155"/>
      <c r="FBZ43" s="155"/>
      <c r="FCA43" s="155"/>
      <c r="FCB43" s="155"/>
      <c r="FCC43" s="155"/>
      <c r="FCD43" s="155"/>
      <c r="FCE43" s="155"/>
      <c r="FCF43" s="155"/>
      <c r="FCG43" s="155"/>
      <c r="FCH43" s="155"/>
      <c r="FCI43" s="155"/>
      <c r="FCJ43" s="155"/>
      <c r="FCK43" s="155"/>
      <c r="FCL43" s="155"/>
      <c r="FCM43" s="155"/>
      <c r="FCN43" s="155"/>
      <c r="FCO43" s="155"/>
      <c r="FCP43" s="155"/>
      <c r="FCQ43" s="155"/>
      <c r="FCR43" s="155"/>
      <c r="FCS43" s="155"/>
      <c r="FCT43" s="155"/>
      <c r="FCU43" s="155"/>
      <c r="FCV43" s="155"/>
      <c r="FCW43" s="155"/>
      <c r="FCX43" s="155"/>
      <c r="FCY43" s="155"/>
      <c r="FCZ43" s="155"/>
      <c r="FDA43" s="155"/>
      <c r="FDB43" s="155"/>
      <c r="FDC43" s="155"/>
      <c r="FDD43" s="155"/>
      <c r="FDE43" s="155"/>
      <c r="FDF43" s="155"/>
      <c r="FDG43" s="155"/>
      <c r="FDH43" s="155"/>
      <c r="FDI43" s="155"/>
      <c r="FDJ43" s="155"/>
      <c r="FDK43" s="155"/>
      <c r="FDL43" s="155"/>
      <c r="FDM43" s="155"/>
      <c r="FDN43" s="155"/>
      <c r="FDO43" s="155"/>
      <c r="FDP43" s="155"/>
      <c r="FDQ43" s="155"/>
      <c r="FDR43" s="155"/>
      <c r="FDS43" s="155"/>
      <c r="FDT43" s="155"/>
      <c r="FDU43" s="155"/>
      <c r="FDV43" s="155"/>
      <c r="FDW43" s="155"/>
      <c r="FDX43" s="155"/>
      <c r="FDY43" s="155"/>
      <c r="FDZ43" s="155"/>
      <c r="FEA43" s="155"/>
      <c r="FEB43" s="155"/>
      <c r="FEC43" s="155"/>
      <c r="FED43" s="155"/>
      <c r="FEE43" s="155"/>
      <c r="FEF43" s="155"/>
      <c r="FEG43" s="155"/>
      <c r="FEH43" s="155"/>
      <c r="FEI43" s="155"/>
      <c r="FEJ43" s="155"/>
      <c r="FEK43" s="155"/>
      <c r="FEL43" s="155"/>
      <c r="FEM43" s="155"/>
      <c r="FEN43" s="155"/>
      <c r="FEO43" s="155"/>
      <c r="FEP43" s="155"/>
      <c r="FEQ43" s="155"/>
      <c r="FER43" s="155"/>
      <c r="FES43" s="155"/>
      <c r="FET43" s="155"/>
      <c r="FEU43" s="155"/>
      <c r="FEV43" s="155"/>
      <c r="FEW43" s="155"/>
      <c r="FEX43" s="155"/>
      <c r="FEY43" s="155"/>
      <c r="FEZ43" s="155"/>
      <c r="FFA43" s="155"/>
      <c r="FFB43" s="155"/>
      <c r="FFC43" s="155"/>
      <c r="FFD43" s="155"/>
      <c r="FFE43" s="155"/>
      <c r="FFF43" s="155"/>
      <c r="FFG43" s="155"/>
      <c r="FFH43" s="155"/>
      <c r="FFI43" s="155"/>
      <c r="FFJ43" s="155"/>
      <c r="FFK43" s="155"/>
      <c r="FFL43" s="155"/>
      <c r="FFM43" s="155"/>
      <c r="FFN43" s="155"/>
      <c r="FFO43" s="155"/>
      <c r="FFP43" s="155"/>
      <c r="FFQ43" s="155"/>
      <c r="FFR43" s="155"/>
      <c r="FFS43" s="155"/>
      <c r="FFT43" s="155"/>
      <c r="FFU43" s="155"/>
      <c r="FFV43" s="155"/>
      <c r="FFW43" s="155"/>
      <c r="FFX43" s="155"/>
      <c r="FFY43" s="155"/>
      <c r="FFZ43" s="155"/>
      <c r="FGA43" s="155"/>
      <c r="FGB43" s="155"/>
      <c r="FGC43" s="155"/>
      <c r="FGD43" s="155"/>
      <c r="FGE43" s="155"/>
      <c r="FGF43" s="155"/>
      <c r="FGG43" s="155"/>
      <c r="FGH43" s="155"/>
      <c r="FGI43" s="155"/>
      <c r="FGJ43" s="155"/>
      <c r="FGK43" s="155"/>
      <c r="FGL43" s="155"/>
      <c r="FGM43" s="155"/>
      <c r="FGN43" s="155"/>
      <c r="FGO43" s="155"/>
      <c r="FGP43" s="155"/>
      <c r="FGQ43" s="155"/>
      <c r="FGR43" s="155"/>
      <c r="FGS43" s="155"/>
      <c r="FGT43" s="155"/>
      <c r="FGU43" s="155"/>
      <c r="FGV43" s="155"/>
      <c r="FGW43" s="155"/>
      <c r="FGX43" s="155"/>
      <c r="FGY43" s="155"/>
      <c r="FGZ43" s="155"/>
      <c r="FHA43" s="155"/>
      <c r="FHB43" s="155"/>
      <c r="FHC43" s="155"/>
      <c r="FHD43" s="155"/>
      <c r="FHE43" s="155"/>
      <c r="FHF43" s="155"/>
      <c r="FHG43" s="155"/>
      <c r="FHH43" s="155"/>
      <c r="FHI43" s="155"/>
      <c r="FHJ43" s="155"/>
      <c r="FHK43" s="155"/>
      <c r="FHL43" s="155"/>
      <c r="FHM43" s="155"/>
      <c r="FHN43" s="155"/>
      <c r="FHO43" s="155"/>
      <c r="FHP43" s="155"/>
      <c r="FHQ43" s="155"/>
      <c r="FHR43" s="155"/>
      <c r="FHS43" s="155"/>
      <c r="FHT43" s="155"/>
      <c r="FHU43" s="155"/>
      <c r="FHV43" s="155"/>
      <c r="FHW43" s="155"/>
      <c r="FHX43" s="155"/>
      <c r="FHY43" s="155"/>
      <c r="FHZ43" s="155"/>
      <c r="FIA43" s="155"/>
      <c r="FIB43" s="155"/>
      <c r="FIC43" s="155"/>
      <c r="FID43" s="155"/>
      <c r="FIE43" s="155"/>
      <c r="FIF43" s="155"/>
      <c r="FIG43" s="155"/>
      <c r="FIH43" s="155"/>
      <c r="FII43" s="155"/>
      <c r="FIJ43" s="155"/>
      <c r="FIK43" s="155"/>
      <c r="FIL43" s="155"/>
      <c r="FIM43" s="155"/>
      <c r="FIN43" s="155"/>
      <c r="FIO43" s="155"/>
      <c r="FIP43" s="155"/>
      <c r="FIQ43" s="155"/>
      <c r="FIR43" s="155"/>
      <c r="FIS43" s="155"/>
      <c r="FIT43" s="155"/>
      <c r="FIU43" s="155"/>
      <c r="FIV43" s="155"/>
      <c r="FIW43" s="155"/>
      <c r="FIX43" s="155"/>
      <c r="FIY43" s="155"/>
      <c r="FIZ43" s="155"/>
      <c r="FJA43" s="155"/>
      <c r="FJB43" s="155"/>
      <c r="FJC43" s="155"/>
      <c r="FJD43" s="155"/>
      <c r="FJE43" s="155"/>
      <c r="FJF43" s="155"/>
      <c r="FJG43" s="155"/>
      <c r="FJH43" s="155"/>
      <c r="FJI43" s="155"/>
      <c r="FJJ43" s="155"/>
      <c r="FJK43" s="155"/>
      <c r="FJL43" s="155"/>
      <c r="FJM43" s="155"/>
      <c r="FJN43" s="155"/>
      <c r="FJO43" s="155"/>
      <c r="FJP43" s="155"/>
      <c r="FJQ43" s="155"/>
      <c r="FJR43" s="155"/>
      <c r="FJS43" s="155"/>
      <c r="FJT43" s="155"/>
      <c r="FJU43" s="155"/>
      <c r="FJV43" s="155"/>
      <c r="FJW43" s="155"/>
      <c r="FJX43" s="155"/>
      <c r="FJY43" s="155"/>
      <c r="FJZ43" s="155"/>
      <c r="FKA43" s="155"/>
      <c r="FKB43" s="155"/>
      <c r="FKC43" s="155"/>
      <c r="FKD43" s="155"/>
      <c r="FKE43" s="155"/>
      <c r="FKF43" s="155"/>
      <c r="FKG43" s="155"/>
      <c r="FKH43" s="155"/>
      <c r="FKI43" s="155"/>
      <c r="FKJ43" s="155"/>
      <c r="FKK43" s="155"/>
      <c r="FKL43" s="155"/>
      <c r="FKM43" s="155"/>
      <c r="FKN43" s="155"/>
      <c r="FKO43" s="155"/>
      <c r="FKP43" s="155"/>
      <c r="FKQ43" s="155"/>
      <c r="FKR43" s="155"/>
      <c r="FKS43" s="155"/>
      <c r="FKT43" s="155"/>
      <c r="FKU43" s="155"/>
      <c r="FKV43" s="155"/>
      <c r="FKW43" s="155"/>
      <c r="FKX43" s="155"/>
      <c r="FKY43" s="155"/>
      <c r="FKZ43" s="155"/>
      <c r="FLA43" s="155"/>
      <c r="FLB43" s="155"/>
      <c r="FLC43" s="155"/>
      <c r="FLD43" s="155"/>
      <c r="FLE43" s="155"/>
      <c r="FLF43" s="155"/>
      <c r="FLG43" s="155"/>
      <c r="FLH43" s="155"/>
      <c r="FLI43" s="155"/>
      <c r="FLJ43" s="155"/>
      <c r="FLK43" s="155"/>
      <c r="FLL43" s="155"/>
      <c r="FLM43" s="155"/>
      <c r="FLN43" s="155"/>
      <c r="FLO43" s="155"/>
      <c r="FLP43" s="155"/>
      <c r="FLQ43" s="155"/>
      <c r="FLR43" s="155"/>
      <c r="FLS43" s="155"/>
      <c r="FLT43" s="155"/>
      <c r="FLU43" s="155"/>
      <c r="FLV43" s="155"/>
      <c r="FLW43" s="155"/>
      <c r="FLX43" s="155"/>
      <c r="FLY43" s="155"/>
      <c r="FLZ43" s="155"/>
      <c r="FMA43" s="155"/>
      <c r="FMB43" s="155"/>
      <c r="FMC43" s="155"/>
      <c r="FMD43" s="155"/>
      <c r="FME43" s="155"/>
      <c r="FMF43" s="155"/>
      <c r="FMG43" s="155"/>
      <c r="FMH43" s="155"/>
      <c r="FMI43" s="155"/>
      <c r="FMJ43" s="155"/>
      <c r="FMK43" s="155"/>
      <c r="FML43" s="155"/>
      <c r="FMM43" s="155"/>
      <c r="FMN43" s="155"/>
      <c r="FMO43" s="155"/>
      <c r="FMP43" s="155"/>
      <c r="FMQ43" s="155"/>
      <c r="FMR43" s="155"/>
      <c r="FMS43" s="155"/>
      <c r="FMT43" s="155"/>
      <c r="FMU43" s="155"/>
      <c r="FMV43" s="155"/>
      <c r="FMW43" s="155"/>
      <c r="FMX43" s="155"/>
      <c r="FMY43" s="155"/>
      <c r="FMZ43" s="155"/>
      <c r="FNA43" s="155"/>
      <c r="FNB43" s="155"/>
      <c r="FNC43" s="155"/>
      <c r="FND43" s="155"/>
      <c r="FNE43" s="155"/>
      <c r="FNF43" s="155"/>
      <c r="FNG43" s="155"/>
      <c r="FNH43" s="155"/>
      <c r="FNI43" s="155"/>
      <c r="FNJ43" s="155"/>
      <c r="FNK43" s="155"/>
      <c r="FNL43" s="155"/>
      <c r="FNM43" s="155"/>
      <c r="FNN43" s="155"/>
      <c r="FNO43" s="155"/>
      <c r="FNP43" s="155"/>
      <c r="FNQ43" s="155"/>
      <c r="FNR43" s="155"/>
      <c r="FNS43" s="155"/>
      <c r="FNT43" s="155"/>
      <c r="FNU43" s="155"/>
      <c r="FNV43" s="155"/>
      <c r="FNW43" s="155"/>
      <c r="FNX43" s="155"/>
      <c r="FNY43" s="155"/>
      <c r="FNZ43" s="155"/>
      <c r="FOA43" s="155"/>
      <c r="FOB43" s="155"/>
      <c r="FOC43" s="155"/>
      <c r="FOD43" s="155"/>
      <c r="FOE43" s="155"/>
      <c r="FOF43" s="155"/>
      <c r="FOG43" s="155"/>
      <c r="FOH43" s="155"/>
      <c r="FOI43" s="155"/>
      <c r="FOJ43" s="155"/>
      <c r="FOK43" s="155"/>
      <c r="FOL43" s="155"/>
      <c r="FOM43" s="155"/>
      <c r="FON43" s="155"/>
      <c r="FOO43" s="155"/>
      <c r="FOP43" s="155"/>
      <c r="FOQ43" s="155"/>
      <c r="FOR43" s="155"/>
      <c r="FOS43" s="155"/>
      <c r="FOT43" s="155"/>
      <c r="FOU43" s="155"/>
      <c r="FOV43" s="155"/>
      <c r="FOW43" s="155"/>
      <c r="FOX43" s="155"/>
      <c r="FOY43" s="155"/>
      <c r="FOZ43" s="155"/>
      <c r="FPA43" s="155"/>
      <c r="FPB43" s="155"/>
      <c r="FPC43" s="155"/>
      <c r="FPD43" s="155"/>
      <c r="FPE43" s="155"/>
      <c r="FPF43" s="155"/>
      <c r="FPG43" s="155"/>
      <c r="FPH43" s="155"/>
      <c r="FPI43" s="155"/>
      <c r="FPJ43" s="155"/>
      <c r="FPK43" s="155"/>
      <c r="FPL43" s="155"/>
      <c r="FPM43" s="155"/>
      <c r="FPN43" s="155"/>
      <c r="FPO43" s="155"/>
      <c r="FPP43" s="155"/>
      <c r="FPQ43" s="155"/>
      <c r="FPR43" s="155"/>
      <c r="FPS43" s="155"/>
      <c r="FPT43" s="155"/>
      <c r="FPU43" s="155"/>
      <c r="FPV43" s="155"/>
      <c r="FPW43" s="155"/>
      <c r="FPX43" s="155"/>
      <c r="FPY43" s="155"/>
      <c r="FPZ43" s="155"/>
      <c r="FQA43" s="155"/>
      <c r="FQB43" s="155"/>
      <c r="FQC43" s="155"/>
      <c r="FQD43" s="155"/>
      <c r="FQE43" s="155"/>
      <c r="FQF43" s="155"/>
      <c r="FQG43" s="155"/>
      <c r="FQH43" s="155"/>
      <c r="FQI43" s="155"/>
      <c r="FQJ43" s="155"/>
      <c r="FQK43" s="155"/>
      <c r="FQL43" s="155"/>
      <c r="FQM43" s="155"/>
      <c r="FQN43" s="155"/>
      <c r="FQO43" s="155"/>
      <c r="FQP43" s="155"/>
      <c r="FQQ43" s="155"/>
      <c r="FQR43" s="155"/>
      <c r="FQS43" s="155"/>
      <c r="FQT43" s="155"/>
      <c r="FQU43" s="155"/>
      <c r="FQV43" s="155"/>
      <c r="FQW43" s="155"/>
      <c r="FQX43" s="155"/>
      <c r="FQY43" s="155"/>
      <c r="FQZ43" s="155"/>
      <c r="FRA43" s="155"/>
      <c r="FRB43" s="155"/>
      <c r="FRC43" s="155"/>
      <c r="FRD43" s="155"/>
      <c r="FRE43" s="155"/>
      <c r="FRF43" s="155"/>
      <c r="FRG43" s="155"/>
      <c r="FRH43" s="155"/>
      <c r="FRI43" s="155"/>
      <c r="FRJ43" s="155"/>
      <c r="FRK43" s="155"/>
      <c r="FRL43" s="155"/>
      <c r="FRM43" s="155"/>
      <c r="FRN43" s="155"/>
      <c r="FRO43" s="155"/>
      <c r="FRP43" s="155"/>
      <c r="FRQ43" s="155"/>
      <c r="FRR43" s="155"/>
      <c r="FRS43" s="155"/>
      <c r="FRT43" s="155"/>
      <c r="FRU43" s="155"/>
      <c r="FRV43" s="155"/>
      <c r="FRW43" s="155"/>
      <c r="FRX43" s="155"/>
      <c r="FRY43" s="155"/>
      <c r="FRZ43" s="155"/>
      <c r="FSA43" s="155"/>
      <c r="FSB43" s="155"/>
      <c r="FSC43" s="155"/>
      <c r="FSD43" s="155"/>
      <c r="FSE43" s="155"/>
      <c r="FSF43" s="155"/>
      <c r="FSG43" s="155"/>
      <c r="FSH43" s="155"/>
      <c r="FSI43" s="155"/>
      <c r="FSJ43" s="155"/>
      <c r="FSK43" s="155"/>
      <c r="FSL43" s="155"/>
      <c r="FSM43" s="155"/>
      <c r="FSN43" s="155"/>
      <c r="FSO43" s="155"/>
      <c r="FSP43" s="155"/>
      <c r="FSQ43" s="155"/>
      <c r="FSR43" s="155"/>
      <c r="FSS43" s="155"/>
      <c r="FST43" s="155"/>
      <c r="FSU43" s="155"/>
      <c r="FSV43" s="155"/>
      <c r="FSW43" s="155"/>
      <c r="FSX43" s="155"/>
      <c r="FSY43" s="155"/>
      <c r="FSZ43" s="155"/>
      <c r="FTA43" s="155"/>
      <c r="FTB43" s="155"/>
      <c r="FTC43" s="155"/>
      <c r="FTD43" s="155"/>
      <c r="FTE43" s="155"/>
      <c r="FTF43" s="155"/>
      <c r="FTG43" s="155"/>
      <c r="FTH43" s="155"/>
      <c r="FTI43" s="155"/>
      <c r="FTJ43" s="155"/>
      <c r="FTK43" s="155"/>
      <c r="FTL43" s="155"/>
      <c r="FTM43" s="155"/>
      <c r="FTN43" s="155"/>
      <c r="FTO43" s="155"/>
      <c r="FTP43" s="155"/>
      <c r="FTQ43" s="155"/>
      <c r="FTR43" s="155"/>
      <c r="FTS43" s="155"/>
      <c r="FTT43" s="155"/>
      <c r="FTU43" s="155"/>
      <c r="FTV43" s="155"/>
      <c r="FTW43" s="155"/>
      <c r="FTX43" s="155"/>
      <c r="FTY43" s="155"/>
      <c r="FTZ43" s="155"/>
      <c r="FUA43" s="155"/>
      <c r="FUB43" s="155"/>
      <c r="FUC43" s="155"/>
      <c r="FUD43" s="155"/>
      <c r="FUE43" s="155"/>
      <c r="FUF43" s="155"/>
      <c r="FUG43" s="155"/>
      <c r="FUH43" s="155"/>
      <c r="FUI43" s="155"/>
      <c r="FUJ43" s="155"/>
      <c r="FUK43" s="155"/>
      <c r="FUL43" s="155"/>
      <c r="FUM43" s="155"/>
      <c r="FUN43" s="155"/>
      <c r="FUO43" s="155"/>
      <c r="FUP43" s="155"/>
      <c r="FUQ43" s="155"/>
      <c r="FUR43" s="155"/>
      <c r="FUS43" s="155"/>
      <c r="FUT43" s="155"/>
      <c r="FUU43" s="155"/>
      <c r="FUV43" s="155"/>
      <c r="FUW43" s="155"/>
      <c r="FUX43" s="155"/>
      <c r="FUY43" s="155"/>
      <c r="FUZ43" s="155"/>
      <c r="FVA43" s="155"/>
      <c r="FVB43" s="155"/>
      <c r="FVC43" s="155"/>
      <c r="FVD43" s="155"/>
      <c r="FVE43" s="155"/>
      <c r="FVF43" s="155"/>
      <c r="FVG43" s="155"/>
      <c r="FVH43" s="155"/>
      <c r="FVI43" s="155"/>
      <c r="FVJ43" s="155"/>
      <c r="FVK43" s="155"/>
      <c r="FVL43" s="155"/>
      <c r="FVM43" s="155"/>
      <c r="FVN43" s="155"/>
      <c r="FVO43" s="155"/>
      <c r="FVP43" s="155"/>
      <c r="FVQ43" s="155"/>
      <c r="FVR43" s="155"/>
      <c r="FVS43" s="155"/>
      <c r="FVT43" s="155"/>
      <c r="FVU43" s="155"/>
      <c r="FVV43" s="155"/>
      <c r="FVW43" s="155"/>
      <c r="FVX43" s="155"/>
      <c r="FVY43" s="155"/>
      <c r="FVZ43" s="155"/>
      <c r="FWA43" s="155"/>
      <c r="FWB43" s="155"/>
      <c r="FWC43" s="155"/>
      <c r="FWD43" s="155"/>
      <c r="FWE43" s="155"/>
      <c r="FWF43" s="155"/>
      <c r="FWG43" s="155"/>
      <c r="FWH43" s="155"/>
      <c r="FWI43" s="155"/>
      <c r="FWJ43" s="155"/>
      <c r="FWK43" s="155"/>
      <c r="FWL43" s="155"/>
      <c r="FWM43" s="155"/>
      <c r="FWN43" s="155"/>
      <c r="FWO43" s="155"/>
      <c r="FWP43" s="155"/>
      <c r="FWQ43" s="155"/>
      <c r="FWR43" s="155"/>
      <c r="FWS43" s="155"/>
      <c r="FWT43" s="155"/>
      <c r="FWU43" s="155"/>
      <c r="FWV43" s="155"/>
      <c r="FWW43" s="155"/>
      <c r="FWX43" s="155"/>
      <c r="FWY43" s="155"/>
      <c r="FWZ43" s="155"/>
      <c r="FXA43" s="155"/>
      <c r="FXB43" s="155"/>
      <c r="FXC43" s="155"/>
      <c r="FXD43" s="155"/>
      <c r="FXE43" s="155"/>
      <c r="FXF43" s="155"/>
      <c r="FXG43" s="155"/>
      <c r="FXH43" s="155"/>
      <c r="FXI43" s="155"/>
      <c r="FXJ43" s="155"/>
      <c r="FXK43" s="155"/>
      <c r="FXL43" s="155"/>
      <c r="FXM43" s="155"/>
      <c r="FXN43" s="155"/>
      <c r="FXO43" s="155"/>
      <c r="FXP43" s="155"/>
      <c r="FXQ43" s="155"/>
      <c r="FXR43" s="155"/>
      <c r="FXS43" s="155"/>
      <c r="FXT43" s="155"/>
      <c r="FXU43" s="155"/>
      <c r="FXV43" s="155"/>
      <c r="FXW43" s="155"/>
      <c r="FXX43" s="155"/>
      <c r="FXY43" s="155"/>
      <c r="FXZ43" s="155"/>
      <c r="FYA43" s="155"/>
      <c r="FYB43" s="155"/>
      <c r="FYC43" s="155"/>
      <c r="FYD43" s="155"/>
      <c r="FYE43" s="155"/>
      <c r="FYF43" s="155"/>
      <c r="FYG43" s="155"/>
      <c r="FYH43" s="155"/>
      <c r="FYI43" s="155"/>
      <c r="FYJ43" s="155"/>
      <c r="FYK43" s="155"/>
      <c r="FYL43" s="155"/>
      <c r="FYM43" s="155"/>
      <c r="FYN43" s="155"/>
      <c r="FYO43" s="155"/>
      <c r="FYP43" s="155"/>
      <c r="FYQ43" s="155"/>
      <c r="FYR43" s="155"/>
      <c r="FYS43" s="155"/>
      <c r="FYT43" s="155"/>
      <c r="FYU43" s="155"/>
      <c r="FYV43" s="155"/>
      <c r="FYW43" s="155"/>
      <c r="FYX43" s="155"/>
      <c r="FYY43" s="155"/>
      <c r="FYZ43" s="155"/>
      <c r="FZA43" s="155"/>
      <c r="FZB43" s="155"/>
      <c r="FZC43" s="155"/>
      <c r="FZD43" s="155"/>
      <c r="FZE43" s="155"/>
      <c r="FZF43" s="155"/>
      <c r="FZG43" s="155"/>
      <c r="FZH43" s="155"/>
      <c r="FZI43" s="155"/>
      <c r="FZJ43" s="155"/>
      <c r="FZK43" s="155"/>
      <c r="FZL43" s="155"/>
      <c r="FZM43" s="155"/>
      <c r="FZN43" s="155"/>
      <c r="FZO43" s="155"/>
      <c r="FZP43" s="155"/>
      <c r="FZQ43" s="155"/>
      <c r="FZR43" s="155"/>
      <c r="FZS43" s="155"/>
      <c r="FZT43" s="155"/>
      <c r="FZU43" s="155"/>
      <c r="FZV43" s="155"/>
      <c r="FZW43" s="155"/>
      <c r="FZX43" s="155"/>
      <c r="FZY43" s="155"/>
      <c r="FZZ43" s="155"/>
      <c r="GAA43" s="155"/>
      <c r="GAB43" s="155"/>
      <c r="GAC43" s="155"/>
      <c r="GAD43" s="155"/>
      <c r="GAE43" s="155"/>
      <c r="GAF43" s="155"/>
      <c r="GAG43" s="155"/>
      <c r="GAH43" s="155"/>
      <c r="GAI43" s="155"/>
      <c r="GAJ43" s="155"/>
      <c r="GAK43" s="155"/>
      <c r="GAL43" s="155"/>
      <c r="GAM43" s="155"/>
      <c r="GAN43" s="155"/>
      <c r="GAO43" s="155"/>
      <c r="GAP43" s="155"/>
      <c r="GAQ43" s="155"/>
      <c r="GAR43" s="155"/>
      <c r="GAS43" s="155"/>
      <c r="GAT43" s="155"/>
      <c r="GAU43" s="155"/>
      <c r="GAV43" s="155"/>
      <c r="GAW43" s="155"/>
      <c r="GAX43" s="155"/>
      <c r="GAY43" s="155"/>
      <c r="GAZ43" s="155"/>
      <c r="GBA43" s="155"/>
      <c r="GBB43" s="155"/>
      <c r="GBC43" s="155"/>
      <c r="GBD43" s="155"/>
      <c r="GBE43" s="155"/>
      <c r="GBF43" s="155"/>
      <c r="GBG43" s="155"/>
      <c r="GBH43" s="155"/>
      <c r="GBI43" s="155"/>
      <c r="GBJ43" s="155"/>
      <c r="GBK43" s="155"/>
      <c r="GBL43" s="155"/>
      <c r="GBM43" s="155"/>
      <c r="GBN43" s="155"/>
      <c r="GBO43" s="155"/>
      <c r="GBP43" s="155"/>
      <c r="GBQ43" s="155"/>
      <c r="GBR43" s="155"/>
      <c r="GBS43" s="155"/>
      <c r="GBT43" s="155"/>
      <c r="GBU43" s="155"/>
      <c r="GBV43" s="155"/>
      <c r="GBW43" s="155"/>
      <c r="GBX43" s="155"/>
      <c r="GBY43" s="155"/>
      <c r="GBZ43" s="155"/>
      <c r="GCA43" s="155"/>
      <c r="GCB43" s="155"/>
      <c r="GCC43" s="155"/>
      <c r="GCD43" s="155"/>
      <c r="GCE43" s="155"/>
      <c r="GCF43" s="155"/>
      <c r="GCG43" s="155"/>
      <c r="GCH43" s="155"/>
      <c r="GCI43" s="155"/>
      <c r="GCJ43" s="155"/>
      <c r="GCK43" s="155"/>
      <c r="GCL43" s="155"/>
      <c r="GCM43" s="155"/>
      <c r="GCN43" s="155"/>
      <c r="GCO43" s="155"/>
      <c r="GCP43" s="155"/>
      <c r="GCQ43" s="155"/>
      <c r="GCR43" s="155"/>
      <c r="GCS43" s="155"/>
      <c r="GCT43" s="155"/>
      <c r="GCU43" s="155"/>
      <c r="GCV43" s="155"/>
      <c r="GCW43" s="155"/>
      <c r="GCX43" s="155"/>
      <c r="GCY43" s="155"/>
      <c r="GCZ43" s="155"/>
      <c r="GDA43" s="155"/>
      <c r="GDB43" s="155"/>
      <c r="GDC43" s="155"/>
      <c r="GDD43" s="155"/>
      <c r="GDE43" s="155"/>
      <c r="GDF43" s="155"/>
      <c r="GDG43" s="155"/>
      <c r="GDH43" s="155"/>
      <c r="GDI43" s="155"/>
      <c r="GDJ43" s="155"/>
      <c r="GDK43" s="155"/>
      <c r="GDL43" s="155"/>
      <c r="GDM43" s="155"/>
      <c r="GDN43" s="155"/>
      <c r="GDO43" s="155"/>
      <c r="GDP43" s="155"/>
      <c r="GDQ43" s="155"/>
      <c r="GDR43" s="155"/>
      <c r="GDS43" s="155"/>
      <c r="GDT43" s="155"/>
      <c r="GDU43" s="155"/>
      <c r="GDV43" s="155"/>
      <c r="GDW43" s="155"/>
      <c r="GDX43" s="155"/>
      <c r="GDY43" s="155"/>
      <c r="GDZ43" s="155"/>
      <c r="GEA43" s="155"/>
      <c r="GEB43" s="155"/>
      <c r="GEC43" s="155"/>
      <c r="GED43" s="155"/>
      <c r="GEE43" s="155"/>
      <c r="GEF43" s="155"/>
      <c r="GEG43" s="155"/>
      <c r="GEH43" s="155"/>
      <c r="GEI43" s="155"/>
      <c r="GEJ43" s="155"/>
      <c r="GEK43" s="155"/>
      <c r="GEL43" s="155"/>
      <c r="GEM43" s="155"/>
      <c r="GEN43" s="155"/>
      <c r="GEO43" s="155"/>
      <c r="GEP43" s="155"/>
      <c r="GEQ43" s="155"/>
      <c r="GER43" s="155"/>
      <c r="GES43" s="155"/>
      <c r="GET43" s="155"/>
      <c r="GEU43" s="155"/>
      <c r="GEV43" s="155"/>
      <c r="GEW43" s="155"/>
      <c r="GEX43" s="155"/>
      <c r="GEY43" s="155"/>
      <c r="GEZ43" s="155"/>
      <c r="GFA43" s="155"/>
      <c r="GFB43" s="155"/>
      <c r="GFC43" s="155"/>
      <c r="GFD43" s="155"/>
      <c r="GFE43" s="155"/>
      <c r="GFF43" s="155"/>
      <c r="GFG43" s="155"/>
      <c r="GFH43" s="155"/>
      <c r="GFI43" s="155"/>
      <c r="GFJ43" s="155"/>
      <c r="GFK43" s="155"/>
      <c r="GFL43" s="155"/>
      <c r="GFM43" s="155"/>
      <c r="GFN43" s="155"/>
      <c r="GFO43" s="155"/>
      <c r="GFP43" s="155"/>
      <c r="GFQ43" s="155"/>
      <c r="GFR43" s="155"/>
      <c r="GFS43" s="155"/>
      <c r="GFT43" s="155"/>
      <c r="GFU43" s="155"/>
      <c r="GFV43" s="155"/>
      <c r="GFW43" s="155"/>
      <c r="GFX43" s="155"/>
      <c r="GFY43" s="155"/>
      <c r="GFZ43" s="155"/>
      <c r="GGA43" s="155"/>
      <c r="GGB43" s="155"/>
      <c r="GGC43" s="155"/>
      <c r="GGD43" s="155"/>
      <c r="GGE43" s="155"/>
      <c r="GGF43" s="155"/>
      <c r="GGG43" s="155"/>
      <c r="GGH43" s="155"/>
      <c r="GGI43" s="155"/>
      <c r="GGJ43" s="155"/>
      <c r="GGK43" s="155"/>
      <c r="GGL43" s="155"/>
      <c r="GGM43" s="155"/>
      <c r="GGN43" s="155"/>
      <c r="GGO43" s="155"/>
      <c r="GGP43" s="155"/>
      <c r="GGQ43" s="155"/>
      <c r="GGR43" s="155"/>
      <c r="GGS43" s="155"/>
      <c r="GGT43" s="155"/>
      <c r="GGU43" s="155"/>
      <c r="GGV43" s="155"/>
      <c r="GGW43" s="155"/>
      <c r="GGX43" s="155"/>
      <c r="GGY43" s="155"/>
      <c r="GGZ43" s="155"/>
      <c r="GHA43" s="155"/>
      <c r="GHB43" s="155"/>
      <c r="GHC43" s="155"/>
      <c r="GHD43" s="155"/>
      <c r="GHE43" s="155"/>
      <c r="GHF43" s="155"/>
      <c r="GHG43" s="155"/>
      <c r="GHH43" s="155"/>
      <c r="GHI43" s="155"/>
      <c r="GHJ43" s="155"/>
      <c r="GHK43" s="155"/>
      <c r="GHL43" s="155"/>
      <c r="GHM43" s="155"/>
      <c r="GHN43" s="155"/>
      <c r="GHO43" s="155"/>
      <c r="GHP43" s="155"/>
      <c r="GHQ43" s="155"/>
      <c r="GHR43" s="155"/>
      <c r="GHS43" s="155"/>
      <c r="GHT43" s="155"/>
      <c r="GHU43" s="155"/>
      <c r="GHV43" s="155"/>
      <c r="GHW43" s="155"/>
      <c r="GHX43" s="155"/>
      <c r="GHY43" s="155"/>
      <c r="GHZ43" s="155"/>
      <c r="GIA43" s="155"/>
      <c r="GIB43" s="155"/>
      <c r="GIC43" s="155"/>
      <c r="GID43" s="155"/>
      <c r="GIE43" s="155"/>
      <c r="GIF43" s="155"/>
      <c r="GIG43" s="155"/>
      <c r="GIH43" s="155"/>
      <c r="GII43" s="155"/>
      <c r="GIJ43" s="155"/>
      <c r="GIK43" s="155"/>
      <c r="GIL43" s="155"/>
      <c r="GIM43" s="155"/>
      <c r="GIN43" s="155"/>
      <c r="GIO43" s="155"/>
      <c r="GIP43" s="155"/>
      <c r="GIQ43" s="155"/>
      <c r="GIR43" s="155"/>
      <c r="GIS43" s="155"/>
      <c r="GIT43" s="155"/>
      <c r="GIU43" s="155"/>
      <c r="GIV43" s="155"/>
      <c r="GIW43" s="155"/>
      <c r="GIX43" s="155"/>
      <c r="GIY43" s="155"/>
      <c r="GIZ43" s="155"/>
      <c r="GJA43" s="155"/>
      <c r="GJB43" s="155"/>
      <c r="GJC43" s="155"/>
      <c r="GJD43" s="155"/>
      <c r="GJE43" s="155"/>
      <c r="GJF43" s="155"/>
      <c r="GJG43" s="155"/>
      <c r="GJH43" s="155"/>
      <c r="GJI43" s="155"/>
      <c r="GJJ43" s="155"/>
      <c r="GJK43" s="155"/>
      <c r="GJL43" s="155"/>
      <c r="GJM43" s="155"/>
      <c r="GJN43" s="155"/>
      <c r="GJO43" s="155"/>
      <c r="GJP43" s="155"/>
      <c r="GJQ43" s="155"/>
      <c r="GJR43" s="155"/>
      <c r="GJS43" s="155"/>
      <c r="GJT43" s="155"/>
      <c r="GJU43" s="155"/>
      <c r="GJV43" s="155"/>
      <c r="GJW43" s="155"/>
      <c r="GJX43" s="155"/>
      <c r="GJY43" s="155"/>
      <c r="GJZ43" s="155"/>
      <c r="GKA43" s="155"/>
      <c r="GKB43" s="155"/>
      <c r="GKC43" s="155"/>
      <c r="GKD43" s="155"/>
      <c r="GKE43" s="155"/>
      <c r="GKF43" s="155"/>
      <c r="GKG43" s="155"/>
      <c r="GKH43" s="155"/>
      <c r="GKI43" s="155"/>
      <c r="GKJ43" s="155"/>
      <c r="GKK43" s="155"/>
      <c r="GKL43" s="155"/>
      <c r="GKM43" s="155"/>
      <c r="GKN43" s="155"/>
      <c r="GKO43" s="155"/>
      <c r="GKP43" s="155"/>
      <c r="GKQ43" s="155"/>
      <c r="GKR43" s="155"/>
      <c r="GKS43" s="155"/>
      <c r="GKT43" s="155"/>
      <c r="GKU43" s="155"/>
      <c r="GKV43" s="155"/>
      <c r="GKW43" s="155"/>
      <c r="GKX43" s="155"/>
      <c r="GKY43" s="155"/>
      <c r="GKZ43" s="155"/>
      <c r="GLA43" s="155"/>
      <c r="GLB43" s="155"/>
      <c r="GLC43" s="155"/>
      <c r="GLD43" s="155"/>
      <c r="GLE43" s="155"/>
      <c r="GLF43" s="155"/>
      <c r="GLG43" s="155"/>
      <c r="GLH43" s="155"/>
      <c r="GLI43" s="155"/>
      <c r="GLJ43" s="155"/>
      <c r="GLK43" s="155"/>
      <c r="GLL43" s="155"/>
      <c r="GLM43" s="155"/>
      <c r="GLN43" s="155"/>
      <c r="GLO43" s="155"/>
      <c r="GLP43" s="155"/>
      <c r="GLQ43" s="155"/>
      <c r="GLR43" s="155"/>
      <c r="GLS43" s="155"/>
      <c r="GLT43" s="155"/>
      <c r="GLU43" s="155"/>
      <c r="GLV43" s="155"/>
      <c r="GLW43" s="155"/>
      <c r="GLX43" s="155"/>
      <c r="GLY43" s="155"/>
      <c r="GLZ43" s="155"/>
      <c r="GMA43" s="155"/>
      <c r="GMB43" s="155"/>
      <c r="GMC43" s="155"/>
      <c r="GMD43" s="155"/>
      <c r="GME43" s="155"/>
      <c r="GMF43" s="155"/>
      <c r="GMG43" s="155"/>
      <c r="GMH43" s="155"/>
      <c r="GMI43" s="155"/>
      <c r="GMJ43" s="155"/>
      <c r="GMK43" s="155"/>
      <c r="GML43" s="155"/>
      <c r="GMM43" s="155"/>
      <c r="GMN43" s="155"/>
      <c r="GMO43" s="155"/>
      <c r="GMP43" s="155"/>
      <c r="GMQ43" s="155"/>
      <c r="GMR43" s="155"/>
      <c r="GMS43" s="155"/>
      <c r="GMT43" s="155"/>
      <c r="GMU43" s="155"/>
      <c r="GMV43" s="155"/>
      <c r="GMW43" s="155"/>
      <c r="GMX43" s="155"/>
      <c r="GMY43" s="155"/>
      <c r="GMZ43" s="155"/>
      <c r="GNA43" s="155"/>
      <c r="GNB43" s="155"/>
      <c r="GNC43" s="155"/>
      <c r="GND43" s="155"/>
      <c r="GNE43" s="155"/>
      <c r="GNF43" s="155"/>
      <c r="GNG43" s="155"/>
      <c r="GNH43" s="155"/>
      <c r="GNI43" s="155"/>
      <c r="GNJ43" s="155"/>
      <c r="GNK43" s="155"/>
      <c r="GNL43" s="155"/>
      <c r="GNM43" s="155"/>
      <c r="GNN43" s="155"/>
      <c r="GNO43" s="155"/>
      <c r="GNP43" s="155"/>
      <c r="GNQ43" s="155"/>
      <c r="GNR43" s="155"/>
      <c r="GNS43" s="155"/>
      <c r="GNT43" s="155"/>
      <c r="GNU43" s="155"/>
      <c r="GNV43" s="155"/>
      <c r="GNW43" s="155"/>
      <c r="GNX43" s="155"/>
      <c r="GNY43" s="155"/>
      <c r="GNZ43" s="155"/>
      <c r="GOA43" s="155"/>
      <c r="GOB43" s="155"/>
      <c r="GOC43" s="155"/>
      <c r="GOD43" s="155"/>
      <c r="GOE43" s="155"/>
      <c r="GOF43" s="155"/>
      <c r="GOG43" s="155"/>
      <c r="GOH43" s="155"/>
      <c r="GOI43" s="155"/>
      <c r="GOJ43" s="155"/>
      <c r="GOK43" s="155"/>
      <c r="GOL43" s="155"/>
      <c r="GOM43" s="155"/>
      <c r="GON43" s="155"/>
      <c r="GOO43" s="155"/>
      <c r="GOP43" s="155"/>
      <c r="GOQ43" s="155"/>
      <c r="GOR43" s="155"/>
      <c r="GOS43" s="155"/>
      <c r="GOT43" s="155"/>
      <c r="GOU43" s="155"/>
      <c r="GOV43" s="155"/>
      <c r="GOW43" s="155"/>
      <c r="GOX43" s="155"/>
      <c r="GOY43" s="155"/>
      <c r="GOZ43" s="155"/>
      <c r="GPA43" s="155"/>
      <c r="GPB43" s="155"/>
      <c r="GPC43" s="155"/>
      <c r="GPD43" s="155"/>
      <c r="GPE43" s="155"/>
      <c r="GPF43" s="155"/>
      <c r="GPG43" s="155"/>
      <c r="GPH43" s="155"/>
      <c r="GPI43" s="155"/>
      <c r="GPJ43" s="155"/>
      <c r="GPK43" s="155"/>
      <c r="GPL43" s="155"/>
      <c r="GPM43" s="155"/>
      <c r="GPN43" s="155"/>
      <c r="GPO43" s="155"/>
      <c r="GPP43" s="155"/>
      <c r="GPQ43" s="155"/>
      <c r="GPR43" s="155"/>
      <c r="GPS43" s="155"/>
      <c r="GPT43" s="155"/>
      <c r="GPU43" s="155"/>
      <c r="GPV43" s="155"/>
      <c r="GPW43" s="155"/>
      <c r="GPX43" s="155"/>
      <c r="GPY43" s="155"/>
      <c r="GPZ43" s="155"/>
      <c r="GQA43" s="155"/>
      <c r="GQB43" s="155"/>
      <c r="GQC43" s="155"/>
      <c r="GQD43" s="155"/>
      <c r="GQE43" s="155"/>
      <c r="GQF43" s="155"/>
      <c r="GQG43" s="155"/>
      <c r="GQH43" s="155"/>
      <c r="GQI43" s="155"/>
      <c r="GQJ43" s="155"/>
      <c r="GQK43" s="155"/>
      <c r="GQL43" s="155"/>
      <c r="GQM43" s="155"/>
      <c r="GQN43" s="155"/>
      <c r="GQO43" s="155"/>
      <c r="GQP43" s="155"/>
      <c r="GQQ43" s="155"/>
      <c r="GQR43" s="155"/>
      <c r="GQS43" s="155"/>
      <c r="GQT43" s="155"/>
      <c r="GQU43" s="155"/>
      <c r="GQV43" s="155"/>
      <c r="GQW43" s="155"/>
      <c r="GQX43" s="155"/>
      <c r="GQY43" s="155"/>
      <c r="GQZ43" s="155"/>
      <c r="GRA43" s="155"/>
      <c r="GRB43" s="155"/>
      <c r="GRC43" s="155"/>
      <c r="GRD43" s="155"/>
      <c r="GRE43" s="155"/>
      <c r="GRF43" s="155"/>
      <c r="GRG43" s="155"/>
      <c r="GRH43" s="155"/>
      <c r="GRI43" s="155"/>
      <c r="GRJ43" s="155"/>
      <c r="GRK43" s="155"/>
      <c r="GRL43" s="155"/>
      <c r="GRM43" s="155"/>
      <c r="GRN43" s="155"/>
      <c r="GRO43" s="155"/>
      <c r="GRP43" s="155"/>
      <c r="GRQ43" s="155"/>
      <c r="GRR43" s="155"/>
      <c r="GRS43" s="155"/>
      <c r="GRT43" s="155"/>
      <c r="GRU43" s="155"/>
      <c r="GRV43" s="155"/>
      <c r="GRW43" s="155"/>
      <c r="GRX43" s="155"/>
      <c r="GRY43" s="155"/>
      <c r="GRZ43" s="155"/>
      <c r="GSA43" s="155"/>
      <c r="GSB43" s="155"/>
      <c r="GSC43" s="155"/>
      <c r="GSD43" s="155"/>
      <c r="GSE43" s="155"/>
      <c r="GSF43" s="155"/>
      <c r="GSG43" s="155"/>
      <c r="GSH43" s="155"/>
      <c r="GSI43" s="155"/>
      <c r="GSJ43" s="155"/>
      <c r="GSK43" s="155"/>
      <c r="GSL43" s="155"/>
      <c r="GSM43" s="155"/>
      <c r="GSN43" s="155"/>
      <c r="GSO43" s="155"/>
      <c r="GSP43" s="155"/>
      <c r="GSQ43" s="155"/>
      <c r="GSR43" s="155"/>
      <c r="GSS43" s="155"/>
      <c r="GST43" s="155"/>
      <c r="GSU43" s="155"/>
      <c r="GSV43" s="155"/>
      <c r="GSW43" s="155"/>
      <c r="GSX43" s="155"/>
      <c r="GSY43" s="155"/>
      <c r="GSZ43" s="155"/>
      <c r="GTA43" s="155"/>
      <c r="GTB43" s="155"/>
      <c r="GTC43" s="155"/>
      <c r="GTD43" s="155"/>
      <c r="GTE43" s="155"/>
      <c r="GTF43" s="155"/>
      <c r="GTG43" s="155"/>
      <c r="GTH43" s="155"/>
      <c r="GTI43" s="155"/>
      <c r="GTJ43" s="155"/>
      <c r="GTK43" s="155"/>
      <c r="GTL43" s="155"/>
      <c r="GTM43" s="155"/>
      <c r="GTN43" s="155"/>
      <c r="GTO43" s="155"/>
      <c r="GTP43" s="155"/>
      <c r="GTQ43" s="155"/>
      <c r="GTR43" s="155"/>
      <c r="GTS43" s="155"/>
      <c r="GTT43" s="155"/>
      <c r="GTU43" s="155"/>
      <c r="GTV43" s="155"/>
      <c r="GTW43" s="155"/>
      <c r="GTX43" s="155"/>
      <c r="GTY43" s="155"/>
      <c r="GTZ43" s="155"/>
      <c r="GUA43" s="155"/>
      <c r="GUB43" s="155"/>
      <c r="GUC43" s="155"/>
      <c r="GUD43" s="155"/>
      <c r="GUE43" s="155"/>
      <c r="GUF43" s="155"/>
      <c r="GUG43" s="155"/>
      <c r="GUH43" s="155"/>
      <c r="GUI43" s="155"/>
      <c r="GUJ43" s="155"/>
      <c r="GUK43" s="155"/>
      <c r="GUL43" s="155"/>
      <c r="GUM43" s="155"/>
      <c r="GUN43" s="155"/>
      <c r="GUO43" s="155"/>
      <c r="GUP43" s="155"/>
      <c r="GUQ43" s="155"/>
      <c r="GUR43" s="155"/>
      <c r="GUS43" s="155"/>
      <c r="GUT43" s="155"/>
      <c r="GUU43" s="155"/>
      <c r="GUV43" s="155"/>
      <c r="GUW43" s="155"/>
      <c r="GUX43" s="155"/>
      <c r="GUY43" s="155"/>
      <c r="GUZ43" s="155"/>
      <c r="GVA43" s="155"/>
      <c r="GVB43" s="155"/>
      <c r="GVC43" s="155"/>
      <c r="GVD43" s="155"/>
      <c r="GVE43" s="155"/>
      <c r="GVF43" s="155"/>
      <c r="GVG43" s="155"/>
      <c r="GVH43" s="155"/>
      <c r="GVI43" s="155"/>
      <c r="GVJ43" s="155"/>
      <c r="GVK43" s="155"/>
      <c r="GVL43" s="155"/>
      <c r="GVM43" s="155"/>
      <c r="GVN43" s="155"/>
      <c r="GVO43" s="155"/>
      <c r="GVP43" s="155"/>
      <c r="GVQ43" s="155"/>
      <c r="GVR43" s="155"/>
      <c r="GVS43" s="155"/>
      <c r="GVT43" s="155"/>
      <c r="GVU43" s="155"/>
      <c r="GVV43" s="155"/>
      <c r="GVW43" s="155"/>
      <c r="GVX43" s="155"/>
      <c r="GVY43" s="155"/>
      <c r="GVZ43" s="155"/>
      <c r="GWA43" s="155"/>
      <c r="GWB43" s="155"/>
      <c r="GWC43" s="155"/>
      <c r="GWD43" s="155"/>
      <c r="GWE43" s="155"/>
      <c r="GWF43" s="155"/>
      <c r="GWG43" s="155"/>
      <c r="GWH43" s="155"/>
      <c r="GWI43" s="155"/>
      <c r="GWJ43" s="155"/>
      <c r="GWK43" s="155"/>
      <c r="GWL43" s="155"/>
      <c r="GWM43" s="155"/>
      <c r="GWN43" s="155"/>
      <c r="GWO43" s="155"/>
      <c r="GWP43" s="155"/>
      <c r="GWQ43" s="155"/>
      <c r="GWR43" s="155"/>
      <c r="GWS43" s="155"/>
      <c r="GWT43" s="155"/>
      <c r="GWU43" s="155"/>
      <c r="GWV43" s="155"/>
      <c r="GWW43" s="155"/>
      <c r="GWX43" s="155"/>
      <c r="GWY43" s="155"/>
      <c r="GWZ43" s="155"/>
      <c r="GXA43" s="155"/>
      <c r="GXB43" s="155"/>
      <c r="GXC43" s="155"/>
      <c r="GXD43" s="155"/>
      <c r="GXE43" s="155"/>
      <c r="GXF43" s="155"/>
      <c r="GXG43" s="155"/>
      <c r="GXH43" s="155"/>
      <c r="GXI43" s="155"/>
      <c r="GXJ43" s="155"/>
      <c r="GXK43" s="155"/>
      <c r="GXL43" s="155"/>
      <c r="GXM43" s="155"/>
      <c r="GXN43" s="155"/>
      <c r="GXO43" s="155"/>
      <c r="GXP43" s="155"/>
      <c r="GXQ43" s="155"/>
      <c r="GXR43" s="155"/>
      <c r="GXS43" s="155"/>
      <c r="GXT43" s="155"/>
      <c r="GXU43" s="155"/>
      <c r="GXV43" s="155"/>
      <c r="GXW43" s="155"/>
      <c r="GXX43" s="155"/>
      <c r="GXY43" s="155"/>
      <c r="GXZ43" s="155"/>
      <c r="GYA43" s="155"/>
      <c r="GYB43" s="155"/>
      <c r="GYC43" s="155"/>
      <c r="GYD43" s="155"/>
      <c r="GYE43" s="155"/>
      <c r="GYF43" s="155"/>
      <c r="GYG43" s="155"/>
      <c r="GYH43" s="155"/>
      <c r="GYI43" s="155"/>
      <c r="GYJ43" s="155"/>
      <c r="GYK43" s="155"/>
      <c r="GYL43" s="155"/>
      <c r="GYM43" s="155"/>
      <c r="GYN43" s="155"/>
      <c r="GYO43" s="155"/>
      <c r="GYP43" s="155"/>
      <c r="GYQ43" s="155"/>
      <c r="GYR43" s="155"/>
      <c r="GYS43" s="155"/>
      <c r="GYT43" s="155"/>
      <c r="GYU43" s="155"/>
      <c r="GYV43" s="155"/>
      <c r="GYW43" s="155"/>
      <c r="GYX43" s="155"/>
      <c r="GYY43" s="155"/>
      <c r="GYZ43" s="155"/>
      <c r="GZA43" s="155"/>
      <c r="GZB43" s="155"/>
      <c r="GZC43" s="155"/>
      <c r="GZD43" s="155"/>
      <c r="GZE43" s="155"/>
      <c r="GZF43" s="155"/>
      <c r="GZG43" s="155"/>
      <c r="GZH43" s="155"/>
      <c r="GZI43" s="155"/>
      <c r="GZJ43" s="155"/>
      <c r="GZK43" s="155"/>
      <c r="GZL43" s="155"/>
      <c r="GZM43" s="155"/>
      <c r="GZN43" s="155"/>
      <c r="GZO43" s="155"/>
      <c r="GZP43" s="155"/>
      <c r="GZQ43" s="155"/>
      <c r="GZR43" s="155"/>
      <c r="GZS43" s="155"/>
      <c r="GZT43" s="155"/>
      <c r="GZU43" s="155"/>
      <c r="GZV43" s="155"/>
      <c r="GZW43" s="155"/>
      <c r="GZX43" s="155"/>
      <c r="GZY43" s="155"/>
      <c r="GZZ43" s="155"/>
      <c r="HAA43" s="155"/>
      <c r="HAB43" s="155"/>
      <c r="HAC43" s="155"/>
      <c r="HAD43" s="155"/>
      <c r="HAE43" s="155"/>
      <c r="HAF43" s="155"/>
      <c r="HAG43" s="155"/>
      <c r="HAH43" s="155"/>
      <c r="HAI43" s="155"/>
      <c r="HAJ43" s="155"/>
      <c r="HAK43" s="155"/>
      <c r="HAL43" s="155"/>
      <c r="HAM43" s="155"/>
      <c r="HAN43" s="155"/>
      <c r="HAO43" s="155"/>
      <c r="HAP43" s="155"/>
      <c r="HAQ43" s="155"/>
      <c r="HAR43" s="155"/>
      <c r="HAS43" s="155"/>
      <c r="HAT43" s="155"/>
      <c r="HAU43" s="155"/>
      <c r="HAV43" s="155"/>
      <c r="HAW43" s="155"/>
      <c r="HAX43" s="155"/>
      <c r="HAY43" s="155"/>
      <c r="HAZ43" s="155"/>
      <c r="HBA43" s="155"/>
      <c r="HBB43" s="155"/>
      <c r="HBC43" s="155"/>
      <c r="HBD43" s="155"/>
      <c r="HBE43" s="155"/>
      <c r="HBF43" s="155"/>
      <c r="HBG43" s="155"/>
      <c r="HBH43" s="155"/>
      <c r="HBI43" s="155"/>
      <c r="HBJ43" s="155"/>
      <c r="HBK43" s="155"/>
      <c r="HBL43" s="155"/>
      <c r="HBM43" s="155"/>
      <c r="HBN43" s="155"/>
      <c r="HBO43" s="155"/>
      <c r="HBP43" s="155"/>
      <c r="HBQ43" s="155"/>
      <c r="HBR43" s="155"/>
      <c r="HBS43" s="155"/>
      <c r="HBT43" s="155"/>
      <c r="HBU43" s="155"/>
      <c r="HBV43" s="155"/>
      <c r="HBW43" s="155"/>
      <c r="HBX43" s="155"/>
      <c r="HBY43" s="155"/>
      <c r="HBZ43" s="155"/>
      <c r="HCA43" s="155"/>
      <c r="HCB43" s="155"/>
      <c r="HCC43" s="155"/>
      <c r="HCD43" s="155"/>
      <c r="HCE43" s="155"/>
      <c r="HCF43" s="155"/>
      <c r="HCG43" s="155"/>
      <c r="HCH43" s="155"/>
      <c r="HCI43" s="155"/>
      <c r="HCJ43" s="155"/>
      <c r="HCK43" s="155"/>
      <c r="HCL43" s="155"/>
      <c r="HCM43" s="155"/>
      <c r="HCN43" s="155"/>
      <c r="HCO43" s="155"/>
      <c r="HCP43" s="155"/>
      <c r="HCQ43" s="155"/>
      <c r="HCR43" s="155"/>
      <c r="HCS43" s="155"/>
      <c r="HCT43" s="155"/>
      <c r="HCU43" s="155"/>
      <c r="HCV43" s="155"/>
      <c r="HCW43" s="155"/>
      <c r="HCX43" s="155"/>
      <c r="HCY43" s="155"/>
      <c r="HCZ43" s="155"/>
      <c r="HDA43" s="155"/>
      <c r="HDB43" s="155"/>
      <c r="HDC43" s="155"/>
      <c r="HDD43" s="155"/>
      <c r="HDE43" s="155"/>
      <c r="HDF43" s="155"/>
      <c r="HDG43" s="155"/>
      <c r="HDH43" s="155"/>
      <c r="HDI43" s="155"/>
      <c r="HDJ43" s="155"/>
      <c r="HDK43" s="155"/>
      <c r="HDL43" s="155"/>
      <c r="HDM43" s="155"/>
      <c r="HDN43" s="155"/>
      <c r="HDO43" s="155"/>
      <c r="HDP43" s="155"/>
      <c r="HDQ43" s="155"/>
      <c r="HDR43" s="155"/>
      <c r="HDS43" s="155"/>
      <c r="HDT43" s="155"/>
      <c r="HDU43" s="155"/>
      <c r="HDV43" s="155"/>
      <c r="HDW43" s="155"/>
      <c r="HDX43" s="155"/>
      <c r="HDY43" s="155"/>
      <c r="HDZ43" s="155"/>
      <c r="HEA43" s="155"/>
      <c r="HEB43" s="155"/>
      <c r="HEC43" s="155"/>
      <c r="HED43" s="155"/>
      <c r="HEE43" s="155"/>
      <c r="HEF43" s="155"/>
      <c r="HEG43" s="155"/>
      <c r="HEH43" s="155"/>
      <c r="HEI43" s="155"/>
      <c r="HEJ43" s="155"/>
      <c r="HEK43" s="155"/>
      <c r="HEL43" s="155"/>
      <c r="HEM43" s="155"/>
      <c r="HEN43" s="155"/>
      <c r="HEO43" s="155"/>
      <c r="HEP43" s="155"/>
      <c r="HEQ43" s="155"/>
      <c r="HER43" s="155"/>
      <c r="HES43" s="155"/>
      <c r="HET43" s="155"/>
      <c r="HEU43" s="155"/>
      <c r="HEV43" s="155"/>
      <c r="HEW43" s="155"/>
      <c r="HEX43" s="155"/>
      <c r="HEY43" s="155"/>
      <c r="HEZ43" s="155"/>
      <c r="HFA43" s="155"/>
      <c r="HFB43" s="155"/>
      <c r="HFC43" s="155"/>
      <c r="HFD43" s="155"/>
      <c r="HFE43" s="155"/>
      <c r="HFF43" s="155"/>
      <c r="HFG43" s="155"/>
      <c r="HFH43" s="155"/>
      <c r="HFI43" s="155"/>
      <c r="HFJ43" s="155"/>
      <c r="HFK43" s="155"/>
      <c r="HFL43" s="155"/>
      <c r="HFM43" s="155"/>
      <c r="HFN43" s="155"/>
      <c r="HFO43" s="155"/>
      <c r="HFP43" s="155"/>
      <c r="HFQ43" s="155"/>
      <c r="HFR43" s="155"/>
      <c r="HFS43" s="155"/>
      <c r="HFT43" s="155"/>
      <c r="HFU43" s="155"/>
      <c r="HFV43" s="155"/>
      <c r="HFW43" s="155"/>
      <c r="HFX43" s="155"/>
      <c r="HFY43" s="155"/>
      <c r="HFZ43" s="155"/>
      <c r="HGA43" s="155"/>
      <c r="HGB43" s="155"/>
      <c r="HGC43" s="155"/>
      <c r="HGD43" s="155"/>
      <c r="HGE43" s="155"/>
      <c r="HGF43" s="155"/>
      <c r="HGG43" s="155"/>
      <c r="HGH43" s="155"/>
      <c r="HGI43" s="155"/>
      <c r="HGJ43" s="155"/>
      <c r="HGK43" s="155"/>
      <c r="HGL43" s="155"/>
      <c r="HGM43" s="155"/>
      <c r="HGN43" s="155"/>
      <c r="HGO43" s="155"/>
      <c r="HGP43" s="155"/>
      <c r="HGQ43" s="155"/>
      <c r="HGR43" s="155"/>
      <c r="HGS43" s="155"/>
      <c r="HGT43" s="155"/>
      <c r="HGU43" s="155"/>
      <c r="HGV43" s="155"/>
      <c r="HGW43" s="155"/>
      <c r="HGX43" s="155"/>
      <c r="HGY43" s="155"/>
      <c r="HGZ43" s="155"/>
      <c r="HHA43" s="155"/>
      <c r="HHB43" s="155"/>
      <c r="HHC43" s="155"/>
      <c r="HHD43" s="155"/>
      <c r="HHE43" s="155"/>
      <c r="HHF43" s="155"/>
      <c r="HHG43" s="155"/>
      <c r="HHH43" s="155"/>
      <c r="HHI43" s="155"/>
      <c r="HHJ43" s="155"/>
      <c r="HHK43" s="155"/>
      <c r="HHL43" s="155"/>
      <c r="HHM43" s="155"/>
      <c r="HHN43" s="155"/>
      <c r="HHO43" s="155"/>
      <c r="HHP43" s="155"/>
      <c r="HHQ43" s="155"/>
      <c r="HHR43" s="155"/>
      <c r="HHS43" s="155"/>
      <c r="HHT43" s="155"/>
      <c r="HHU43" s="155"/>
      <c r="HHV43" s="155"/>
      <c r="HHW43" s="155"/>
      <c r="HHX43" s="155"/>
      <c r="HHY43" s="155"/>
      <c r="HHZ43" s="155"/>
      <c r="HIA43" s="155"/>
      <c r="HIB43" s="155"/>
      <c r="HIC43" s="155"/>
      <c r="HID43" s="155"/>
      <c r="HIE43" s="155"/>
      <c r="HIF43" s="155"/>
      <c r="HIG43" s="155"/>
      <c r="HIH43" s="155"/>
      <c r="HII43" s="155"/>
      <c r="HIJ43" s="155"/>
      <c r="HIK43" s="155"/>
      <c r="HIL43" s="155"/>
      <c r="HIM43" s="155"/>
      <c r="HIN43" s="155"/>
      <c r="HIO43" s="155"/>
      <c r="HIP43" s="155"/>
      <c r="HIQ43" s="155"/>
      <c r="HIR43" s="155"/>
      <c r="HIS43" s="155"/>
      <c r="HIT43" s="155"/>
      <c r="HIU43" s="155"/>
      <c r="HIV43" s="155"/>
      <c r="HIW43" s="155"/>
      <c r="HIX43" s="155"/>
      <c r="HIY43" s="155"/>
      <c r="HIZ43" s="155"/>
      <c r="HJA43" s="155"/>
      <c r="HJB43" s="155"/>
      <c r="HJC43" s="155"/>
      <c r="HJD43" s="155"/>
      <c r="HJE43" s="155"/>
      <c r="HJF43" s="155"/>
      <c r="HJG43" s="155"/>
      <c r="HJH43" s="155"/>
      <c r="HJI43" s="155"/>
      <c r="HJJ43" s="155"/>
      <c r="HJK43" s="155"/>
      <c r="HJL43" s="155"/>
      <c r="HJM43" s="155"/>
      <c r="HJN43" s="155"/>
      <c r="HJO43" s="155"/>
      <c r="HJP43" s="155"/>
      <c r="HJQ43" s="155"/>
      <c r="HJR43" s="155"/>
      <c r="HJS43" s="155"/>
      <c r="HJT43" s="155"/>
      <c r="HJU43" s="155"/>
      <c r="HJV43" s="155"/>
      <c r="HJW43" s="155"/>
      <c r="HJX43" s="155"/>
      <c r="HJY43" s="155"/>
      <c r="HJZ43" s="155"/>
      <c r="HKA43" s="155"/>
      <c r="HKB43" s="155"/>
      <c r="HKC43" s="155"/>
      <c r="HKD43" s="155"/>
      <c r="HKE43" s="155"/>
      <c r="HKF43" s="155"/>
      <c r="HKG43" s="155"/>
      <c r="HKH43" s="155"/>
      <c r="HKI43" s="155"/>
      <c r="HKJ43" s="155"/>
      <c r="HKK43" s="155"/>
      <c r="HKL43" s="155"/>
      <c r="HKM43" s="155"/>
      <c r="HKN43" s="155"/>
      <c r="HKO43" s="155"/>
      <c r="HKP43" s="155"/>
      <c r="HKQ43" s="155"/>
      <c r="HKR43" s="155"/>
      <c r="HKS43" s="155"/>
      <c r="HKT43" s="155"/>
      <c r="HKU43" s="155"/>
      <c r="HKV43" s="155"/>
      <c r="HKW43" s="155"/>
      <c r="HKX43" s="155"/>
      <c r="HKY43" s="155"/>
      <c r="HKZ43" s="155"/>
      <c r="HLA43" s="155"/>
      <c r="HLB43" s="155"/>
      <c r="HLC43" s="155"/>
      <c r="HLD43" s="155"/>
      <c r="HLE43" s="155"/>
      <c r="HLF43" s="155"/>
      <c r="HLG43" s="155"/>
      <c r="HLH43" s="155"/>
      <c r="HLI43" s="155"/>
      <c r="HLJ43" s="155"/>
      <c r="HLK43" s="155"/>
      <c r="HLL43" s="155"/>
      <c r="HLM43" s="155"/>
      <c r="HLN43" s="155"/>
      <c r="HLO43" s="155"/>
      <c r="HLP43" s="155"/>
      <c r="HLQ43" s="155"/>
      <c r="HLR43" s="155"/>
      <c r="HLS43" s="155"/>
      <c r="HLT43" s="155"/>
      <c r="HLU43" s="155"/>
      <c r="HLV43" s="155"/>
      <c r="HLW43" s="155"/>
      <c r="HLX43" s="155"/>
      <c r="HLY43" s="155"/>
      <c r="HLZ43" s="155"/>
      <c r="HMA43" s="155"/>
      <c r="HMB43" s="155"/>
      <c r="HMC43" s="155"/>
      <c r="HMD43" s="155"/>
      <c r="HME43" s="155"/>
      <c r="HMF43" s="155"/>
      <c r="HMG43" s="155"/>
      <c r="HMH43" s="155"/>
      <c r="HMI43" s="155"/>
      <c r="HMJ43" s="155"/>
      <c r="HMK43" s="155"/>
      <c r="HML43" s="155"/>
      <c r="HMM43" s="155"/>
      <c r="HMN43" s="155"/>
      <c r="HMO43" s="155"/>
      <c r="HMP43" s="155"/>
      <c r="HMQ43" s="155"/>
      <c r="HMR43" s="155"/>
      <c r="HMS43" s="155"/>
      <c r="HMT43" s="155"/>
      <c r="HMU43" s="155"/>
      <c r="HMV43" s="155"/>
      <c r="HMW43" s="155"/>
      <c r="HMX43" s="155"/>
      <c r="HMY43" s="155"/>
      <c r="HMZ43" s="155"/>
      <c r="HNA43" s="155"/>
      <c r="HNB43" s="155"/>
      <c r="HNC43" s="155"/>
      <c r="HND43" s="155"/>
      <c r="HNE43" s="155"/>
      <c r="HNF43" s="155"/>
      <c r="HNG43" s="155"/>
      <c r="HNH43" s="155"/>
      <c r="HNI43" s="155"/>
      <c r="HNJ43" s="155"/>
      <c r="HNK43" s="155"/>
      <c r="HNL43" s="155"/>
      <c r="HNM43" s="155"/>
      <c r="HNN43" s="155"/>
      <c r="HNO43" s="155"/>
      <c r="HNP43" s="155"/>
      <c r="HNQ43" s="155"/>
      <c r="HNR43" s="155"/>
      <c r="HNS43" s="155"/>
      <c r="HNT43" s="155"/>
      <c r="HNU43" s="155"/>
      <c r="HNV43" s="155"/>
      <c r="HNW43" s="155"/>
      <c r="HNX43" s="155"/>
      <c r="HNY43" s="155"/>
      <c r="HNZ43" s="155"/>
      <c r="HOA43" s="155"/>
      <c r="HOB43" s="155"/>
      <c r="HOC43" s="155"/>
      <c r="HOD43" s="155"/>
      <c r="HOE43" s="155"/>
      <c r="HOF43" s="155"/>
      <c r="HOG43" s="155"/>
      <c r="HOH43" s="155"/>
      <c r="HOI43" s="155"/>
      <c r="HOJ43" s="155"/>
      <c r="HOK43" s="155"/>
      <c r="HOL43" s="155"/>
      <c r="HOM43" s="155"/>
      <c r="HON43" s="155"/>
      <c r="HOO43" s="155"/>
      <c r="HOP43" s="155"/>
      <c r="HOQ43" s="155"/>
      <c r="HOR43" s="155"/>
      <c r="HOS43" s="155"/>
      <c r="HOT43" s="155"/>
      <c r="HOU43" s="155"/>
      <c r="HOV43" s="155"/>
      <c r="HOW43" s="155"/>
      <c r="HOX43" s="155"/>
      <c r="HOY43" s="155"/>
      <c r="HOZ43" s="155"/>
      <c r="HPA43" s="155"/>
      <c r="HPB43" s="155"/>
      <c r="HPC43" s="155"/>
      <c r="HPD43" s="155"/>
      <c r="HPE43" s="155"/>
      <c r="HPF43" s="155"/>
      <c r="HPG43" s="155"/>
      <c r="HPH43" s="155"/>
      <c r="HPI43" s="155"/>
      <c r="HPJ43" s="155"/>
      <c r="HPK43" s="155"/>
      <c r="HPL43" s="155"/>
      <c r="HPM43" s="155"/>
      <c r="HPN43" s="155"/>
      <c r="HPO43" s="155"/>
      <c r="HPP43" s="155"/>
      <c r="HPQ43" s="155"/>
      <c r="HPR43" s="155"/>
      <c r="HPS43" s="155"/>
      <c r="HPT43" s="155"/>
      <c r="HPU43" s="155"/>
      <c r="HPV43" s="155"/>
      <c r="HPW43" s="155"/>
      <c r="HPX43" s="155"/>
      <c r="HPY43" s="155"/>
      <c r="HPZ43" s="155"/>
      <c r="HQA43" s="155"/>
      <c r="HQB43" s="155"/>
      <c r="HQC43" s="155"/>
      <c r="HQD43" s="155"/>
      <c r="HQE43" s="155"/>
      <c r="HQF43" s="155"/>
      <c r="HQG43" s="155"/>
      <c r="HQH43" s="155"/>
      <c r="HQI43" s="155"/>
      <c r="HQJ43" s="155"/>
      <c r="HQK43" s="155"/>
      <c r="HQL43" s="155"/>
      <c r="HQM43" s="155"/>
      <c r="HQN43" s="155"/>
      <c r="HQO43" s="155"/>
      <c r="HQP43" s="155"/>
      <c r="HQQ43" s="155"/>
      <c r="HQR43" s="155"/>
      <c r="HQS43" s="155"/>
      <c r="HQT43" s="155"/>
      <c r="HQU43" s="155"/>
      <c r="HQV43" s="155"/>
      <c r="HQW43" s="155"/>
      <c r="HQX43" s="155"/>
      <c r="HQY43" s="155"/>
      <c r="HQZ43" s="155"/>
      <c r="HRA43" s="155"/>
      <c r="HRB43" s="155"/>
      <c r="HRC43" s="155"/>
      <c r="HRD43" s="155"/>
      <c r="HRE43" s="155"/>
      <c r="HRF43" s="155"/>
      <c r="HRG43" s="155"/>
      <c r="HRH43" s="155"/>
      <c r="HRI43" s="155"/>
      <c r="HRJ43" s="155"/>
      <c r="HRK43" s="155"/>
      <c r="HRL43" s="155"/>
      <c r="HRM43" s="155"/>
      <c r="HRN43" s="155"/>
      <c r="HRO43" s="155"/>
      <c r="HRP43" s="155"/>
      <c r="HRQ43" s="155"/>
      <c r="HRR43" s="155"/>
      <c r="HRS43" s="155"/>
      <c r="HRT43" s="155"/>
      <c r="HRU43" s="155"/>
      <c r="HRV43" s="155"/>
      <c r="HRW43" s="155"/>
      <c r="HRX43" s="155"/>
      <c r="HRY43" s="155"/>
      <c r="HRZ43" s="155"/>
      <c r="HSA43" s="155"/>
      <c r="HSB43" s="155"/>
      <c r="HSC43" s="155"/>
      <c r="HSD43" s="155"/>
      <c r="HSE43" s="155"/>
      <c r="HSF43" s="155"/>
      <c r="HSG43" s="155"/>
      <c r="HSH43" s="155"/>
      <c r="HSI43" s="155"/>
      <c r="HSJ43" s="155"/>
      <c r="HSK43" s="155"/>
      <c r="HSL43" s="155"/>
      <c r="HSM43" s="155"/>
      <c r="HSN43" s="155"/>
      <c r="HSO43" s="155"/>
      <c r="HSP43" s="155"/>
      <c r="HSQ43" s="155"/>
      <c r="HSR43" s="155"/>
      <c r="HSS43" s="155"/>
      <c r="HST43" s="155"/>
      <c r="HSU43" s="155"/>
      <c r="HSV43" s="155"/>
      <c r="HSW43" s="155"/>
      <c r="HSX43" s="155"/>
      <c r="HSY43" s="155"/>
      <c r="HSZ43" s="155"/>
      <c r="HTA43" s="155"/>
      <c r="HTB43" s="155"/>
      <c r="HTC43" s="155"/>
      <c r="HTD43" s="155"/>
      <c r="HTE43" s="155"/>
      <c r="HTF43" s="155"/>
      <c r="HTG43" s="155"/>
      <c r="HTH43" s="155"/>
      <c r="HTI43" s="155"/>
      <c r="HTJ43" s="155"/>
      <c r="HTK43" s="155"/>
      <c r="HTL43" s="155"/>
      <c r="HTM43" s="155"/>
      <c r="HTN43" s="155"/>
      <c r="HTO43" s="155"/>
      <c r="HTP43" s="155"/>
      <c r="HTQ43" s="155"/>
      <c r="HTR43" s="155"/>
      <c r="HTS43" s="155"/>
      <c r="HTT43" s="155"/>
      <c r="HTU43" s="155"/>
      <c r="HTV43" s="155"/>
      <c r="HTW43" s="155"/>
      <c r="HTX43" s="155"/>
      <c r="HTY43" s="155"/>
      <c r="HTZ43" s="155"/>
      <c r="HUA43" s="155"/>
      <c r="HUB43" s="155"/>
      <c r="HUC43" s="155"/>
      <c r="HUD43" s="155"/>
      <c r="HUE43" s="155"/>
      <c r="HUF43" s="155"/>
      <c r="HUG43" s="155"/>
      <c r="HUH43" s="155"/>
      <c r="HUI43" s="155"/>
      <c r="HUJ43" s="155"/>
      <c r="HUK43" s="155"/>
      <c r="HUL43" s="155"/>
      <c r="HUM43" s="155"/>
      <c r="HUN43" s="155"/>
      <c r="HUO43" s="155"/>
      <c r="HUP43" s="155"/>
      <c r="HUQ43" s="155"/>
      <c r="HUR43" s="155"/>
      <c r="HUS43" s="155"/>
      <c r="HUT43" s="155"/>
      <c r="HUU43" s="155"/>
      <c r="HUV43" s="155"/>
      <c r="HUW43" s="155"/>
      <c r="HUX43" s="155"/>
      <c r="HUY43" s="155"/>
      <c r="HUZ43" s="155"/>
      <c r="HVA43" s="155"/>
      <c r="HVB43" s="155"/>
      <c r="HVC43" s="155"/>
      <c r="HVD43" s="155"/>
      <c r="HVE43" s="155"/>
      <c r="HVF43" s="155"/>
      <c r="HVG43" s="155"/>
      <c r="HVH43" s="155"/>
      <c r="HVI43" s="155"/>
      <c r="HVJ43" s="155"/>
      <c r="HVK43" s="155"/>
      <c r="HVL43" s="155"/>
      <c r="HVM43" s="155"/>
      <c r="HVN43" s="155"/>
      <c r="HVO43" s="155"/>
      <c r="HVP43" s="155"/>
      <c r="HVQ43" s="155"/>
      <c r="HVR43" s="155"/>
      <c r="HVS43" s="155"/>
      <c r="HVT43" s="155"/>
      <c r="HVU43" s="155"/>
      <c r="HVV43" s="155"/>
      <c r="HVW43" s="155"/>
      <c r="HVX43" s="155"/>
      <c r="HVY43" s="155"/>
      <c r="HVZ43" s="155"/>
      <c r="HWA43" s="155"/>
      <c r="HWB43" s="155"/>
      <c r="HWC43" s="155"/>
      <c r="HWD43" s="155"/>
      <c r="HWE43" s="155"/>
      <c r="HWF43" s="155"/>
      <c r="HWG43" s="155"/>
      <c r="HWH43" s="155"/>
      <c r="HWI43" s="155"/>
      <c r="HWJ43" s="155"/>
      <c r="HWK43" s="155"/>
      <c r="HWL43" s="155"/>
      <c r="HWM43" s="155"/>
      <c r="HWN43" s="155"/>
      <c r="HWO43" s="155"/>
      <c r="HWP43" s="155"/>
      <c r="HWQ43" s="155"/>
      <c r="HWR43" s="155"/>
      <c r="HWS43" s="155"/>
      <c r="HWT43" s="155"/>
      <c r="HWU43" s="155"/>
      <c r="HWV43" s="155"/>
      <c r="HWW43" s="155"/>
      <c r="HWX43" s="155"/>
      <c r="HWY43" s="155"/>
      <c r="HWZ43" s="155"/>
      <c r="HXA43" s="155"/>
      <c r="HXB43" s="155"/>
      <c r="HXC43" s="155"/>
      <c r="HXD43" s="155"/>
      <c r="HXE43" s="155"/>
      <c r="HXF43" s="155"/>
      <c r="HXG43" s="155"/>
      <c r="HXH43" s="155"/>
      <c r="HXI43" s="155"/>
      <c r="HXJ43" s="155"/>
      <c r="HXK43" s="155"/>
      <c r="HXL43" s="155"/>
      <c r="HXM43" s="155"/>
      <c r="HXN43" s="155"/>
      <c r="HXO43" s="155"/>
      <c r="HXP43" s="155"/>
      <c r="HXQ43" s="155"/>
      <c r="HXR43" s="155"/>
      <c r="HXS43" s="155"/>
      <c r="HXT43" s="155"/>
      <c r="HXU43" s="155"/>
      <c r="HXV43" s="155"/>
      <c r="HXW43" s="155"/>
      <c r="HXX43" s="155"/>
      <c r="HXY43" s="155"/>
      <c r="HXZ43" s="155"/>
      <c r="HYA43" s="155"/>
      <c r="HYB43" s="155"/>
      <c r="HYC43" s="155"/>
      <c r="HYD43" s="155"/>
      <c r="HYE43" s="155"/>
      <c r="HYF43" s="155"/>
      <c r="HYG43" s="155"/>
      <c r="HYH43" s="155"/>
      <c r="HYI43" s="155"/>
      <c r="HYJ43" s="155"/>
      <c r="HYK43" s="155"/>
      <c r="HYL43" s="155"/>
      <c r="HYM43" s="155"/>
      <c r="HYN43" s="155"/>
      <c r="HYO43" s="155"/>
      <c r="HYP43" s="155"/>
      <c r="HYQ43" s="155"/>
      <c r="HYR43" s="155"/>
      <c r="HYS43" s="155"/>
      <c r="HYT43" s="155"/>
      <c r="HYU43" s="155"/>
      <c r="HYV43" s="155"/>
      <c r="HYW43" s="155"/>
      <c r="HYX43" s="155"/>
      <c r="HYY43" s="155"/>
      <c r="HYZ43" s="155"/>
      <c r="HZA43" s="155"/>
      <c r="HZB43" s="155"/>
      <c r="HZC43" s="155"/>
      <c r="HZD43" s="155"/>
      <c r="HZE43" s="155"/>
      <c r="HZF43" s="155"/>
      <c r="HZG43" s="155"/>
      <c r="HZH43" s="155"/>
      <c r="HZI43" s="155"/>
      <c r="HZJ43" s="155"/>
      <c r="HZK43" s="155"/>
      <c r="HZL43" s="155"/>
      <c r="HZM43" s="155"/>
      <c r="HZN43" s="155"/>
      <c r="HZO43" s="155"/>
      <c r="HZP43" s="155"/>
      <c r="HZQ43" s="155"/>
      <c r="HZR43" s="155"/>
      <c r="HZS43" s="155"/>
      <c r="HZT43" s="155"/>
      <c r="HZU43" s="155"/>
      <c r="HZV43" s="155"/>
      <c r="HZW43" s="155"/>
      <c r="HZX43" s="155"/>
      <c r="HZY43" s="155"/>
      <c r="HZZ43" s="155"/>
      <c r="IAA43" s="155"/>
      <c r="IAB43" s="155"/>
      <c r="IAC43" s="155"/>
      <c r="IAD43" s="155"/>
      <c r="IAE43" s="155"/>
      <c r="IAF43" s="155"/>
      <c r="IAG43" s="155"/>
      <c r="IAH43" s="155"/>
      <c r="IAI43" s="155"/>
      <c r="IAJ43" s="155"/>
      <c r="IAK43" s="155"/>
      <c r="IAL43" s="155"/>
      <c r="IAM43" s="155"/>
      <c r="IAN43" s="155"/>
      <c r="IAO43" s="155"/>
      <c r="IAP43" s="155"/>
      <c r="IAQ43" s="155"/>
      <c r="IAR43" s="155"/>
      <c r="IAS43" s="155"/>
      <c r="IAT43" s="155"/>
      <c r="IAU43" s="155"/>
      <c r="IAV43" s="155"/>
      <c r="IAW43" s="155"/>
      <c r="IAX43" s="155"/>
      <c r="IAY43" s="155"/>
      <c r="IAZ43" s="155"/>
      <c r="IBA43" s="155"/>
      <c r="IBB43" s="155"/>
      <c r="IBC43" s="155"/>
      <c r="IBD43" s="155"/>
      <c r="IBE43" s="155"/>
      <c r="IBF43" s="155"/>
      <c r="IBG43" s="155"/>
      <c r="IBH43" s="155"/>
      <c r="IBI43" s="155"/>
      <c r="IBJ43" s="155"/>
      <c r="IBK43" s="155"/>
      <c r="IBL43" s="155"/>
      <c r="IBM43" s="155"/>
      <c r="IBN43" s="155"/>
      <c r="IBO43" s="155"/>
      <c r="IBP43" s="155"/>
      <c r="IBQ43" s="155"/>
      <c r="IBR43" s="155"/>
      <c r="IBS43" s="155"/>
      <c r="IBT43" s="155"/>
      <c r="IBU43" s="155"/>
      <c r="IBV43" s="155"/>
      <c r="IBW43" s="155"/>
      <c r="IBX43" s="155"/>
      <c r="IBY43" s="155"/>
      <c r="IBZ43" s="155"/>
      <c r="ICA43" s="155"/>
      <c r="ICB43" s="155"/>
      <c r="ICC43" s="155"/>
      <c r="ICD43" s="155"/>
      <c r="ICE43" s="155"/>
      <c r="ICF43" s="155"/>
      <c r="ICG43" s="155"/>
      <c r="ICH43" s="155"/>
      <c r="ICI43" s="155"/>
      <c r="ICJ43" s="155"/>
      <c r="ICK43" s="155"/>
      <c r="ICL43" s="155"/>
      <c r="ICM43" s="155"/>
      <c r="ICN43" s="155"/>
      <c r="ICO43" s="155"/>
      <c r="ICP43" s="155"/>
      <c r="ICQ43" s="155"/>
      <c r="ICR43" s="155"/>
      <c r="ICS43" s="155"/>
      <c r="ICT43" s="155"/>
      <c r="ICU43" s="155"/>
      <c r="ICV43" s="155"/>
      <c r="ICW43" s="155"/>
      <c r="ICX43" s="155"/>
      <c r="ICY43" s="155"/>
      <c r="ICZ43" s="155"/>
      <c r="IDA43" s="155"/>
      <c r="IDB43" s="155"/>
      <c r="IDC43" s="155"/>
      <c r="IDD43" s="155"/>
      <c r="IDE43" s="155"/>
      <c r="IDF43" s="155"/>
      <c r="IDG43" s="155"/>
      <c r="IDH43" s="155"/>
      <c r="IDI43" s="155"/>
      <c r="IDJ43" s="155"/>
      <c r="IDK43" s="155"/>
      <c r="IDL43" s="155"/>
      <c r="IDM43" s="155"/>
      <c r="IDN43" s="155"/>
      <c r="IDO43" s="155"/>
      <c r="IDP43" s="155"/>
      <c r="IDQ43" s="155"/>
      <c r="IDR43" s="155"/>
      <c r="IDS43" s="155"/>
      <c r="IDT43" s="155"/>
      <c r="IDU43" s="155"/>
      <c r="IDV43" s="155"/>
      <c r="IDW43" s="155"/>
      <c r="IDX43" s="155"/>
      <c r="IDY43" s="155"/>
      <c r="IDZ43" s="155"/>
      <c r="IEA43" s="155"/>
      <c r="IEB43" s="155"/>
      <c r="IEC43" s="155"/>
      <c r="IED43" s="155"/>
      <c r="IEE43" s="155"/>
      <c r="IEF43" s="155"/>
      <c r="IEG43" s="155"/>
      <c r="IEH43" s="155"/>
      <c r="IEI43" s="155"/>
      <c r="IEJ43" s="155"/>
      <c r="IEK43" s="155"/>
      <c r="IEL43" s="155"/>
      <c r="IEM43" s="155"/>
      <c r="IEN43" s="155"/>
      <c r="IEO43" s="155"/>
      <c r="IEP43" s="155"/>
      <c r="IEQ43" s="155"/>
      <c r="IER43" s="155"/>
      <c r="IES43" s="155"/>
      <c r="IET43" s="155"/>
      <c r="IEU43" s="155"/>
      <c r="IEV43" s="155"/>
      <c r="IEW43" s="155"/>
      <c r="IEX43" s="155"/>
      <c r="IEY43" s="155"/>
      <c r="IEZ43" s="155"/>
      <c r="IFA43" s="155"/>
      <c r="IFB43" s="155"/>
      <c r="IFC43" s="155"/>
      <c r="IFD43" s="155"/>
      <c r="IFE43" s="155"/>
      <c r="IFF43" s="155"/>
      <c r="IFG43" s="155"/>
      <c r="IFH43" s="155"/>
      <c r="IFI43" s="155"/>
      <c r="IFJ43" s="155"/>
      <c r="IFK43" s="155"/>
      <c r="IFL43" s="155"/>
      <c r="IFM43" s="155"/>
      <c r="IFN43" s="155"/>
      <c r="IFO43" s="155"/>
      <c r="IFP43" s="155"/>
      <c r="IFQ43" s="155"/>
      <c r="IFR43" s="155"/>
      <c r="IFS43" s="155"/>
      <c r="IFT43" s="155"/>
      <c r="IFU43" s="155"/>
      <c r="IFV43" s="155"/>
      <c r="IFW43" s="155"/>
      <c r="IFX43" s="155"/>
      <c r="IFY43" s="155"/>
      <c r="IFZ43" s="155"/>
      <c r="IGA43" s="155"/>
      <c r="IGB43" s="155"/>
      <c r="IGC43" s="155"/>
      <c r="IGD43" s="155"/>
      <c r="IGE43" s="155"/>
      <c r="IGF43" s="155"/>
      <c r="IGG43" s="155"/>
      <c r="IGH43" s="155"/>
      <c r="IGI43" s="155"/>
      <c r="IGJ43" s="155"/>
      <c r="IGK43" s="155"/>
      <c r="IGL43" s="155"/>
      <c r="IGM43" s="155"/>
      <c r="IGN43" s="155"/>
      <c r="IGO43" s="155"/>
      <c r="IGP43" s="155"/>
      <c r="IGQ43" s="155"/>
      <c r="IGR43" s="155"/>
      <c r="IGS43" s="155"/>
      <c r="IGT43" s="155"/>
      <c r="IGU43" s="155"/>
      <c r="IGV43" s="155"/>
      <c r="IGW43" s="155"/>
      <c r="IGX43" s="155"/>
      <c r="IGY43" s="155"/>
      <c r="IGZ43" s="155"/>
      <c r="IHA43" s="155"/>
      <c r="IHB43" s="155"/>
      <c r="IHC43" s="155"/>
      <c r="IHD43" s="155"/>
      <c r="IHE43" s="155"/>
      <c r="IHF43" s="155"/>
      <c r="IHG43" s="155"/>
      <c r="IHH43" s="155"/>
      <c r="IHI43" s="155"/>
      <c r="IHJ43" s="155"/>
      <c r="IHK43" s="155"/>
      <c r="IHL43" s="155"/>
      <c r="IHM43" s="155"/>
      <c r="IHN43" s="155"/>
      <c r="IHO43" s="155"/>
      <c r="IHP43" s="155"/>
      <c r="IHQ43" s="155"/>
      <c r="IHR43" s="155"/>
      <c r="IHS43" s="155"/>
      <c r="IHT43" s="155"/>
      <c r="IHU43" s="155"/>
      <c r="IHV43" s="155"/>
      <c r="IHW43" s="155"/>
      <c r="IHX43" s="155"/>
      <c r="IHY43" s="155"/>
      <c r="IHZ43" s="155"/>
      <c r="IIA43" s="155"/>
      <c r="IIB43" s="155"/>
      <c r="IIC43" s="155"/>
      <c r="IID43" s="155"/>
      <c r="IIE43" s="155"/>
      <c r="IIF43" s="155"/>
      <c r="IIG43" s="155"/>
      <c r="IIH43" s="155"/>
      <c r="III43" s="155"/>
      <c r="IIJ43" s="155"/>
      <c r="IIK43" s="155"/>
      <c r="IIL43" s="155"/>
      <c r="IIM43" s="155"/>
      <c r="IIN43" s="155"/>
      <c r="IIO43" s="155"/>
      <c r="IIP43" s="155"/>
      <c r="IIQ43" s="155"/>
      <c r="IIR43" s="155"/>
      <c r="IIS43" s="155"/>
      <c r="IIT43" s="155"/>
      <c r="IIU43" s="155"/>
      <c r="IIV43" s="155"/>
      <c r="IIW43" s="155"/>
      <c r="IIX43" s="155"/>
      <c r="IIY43" s="155"/>
      <c r="IIZ43" s="155"/>
      <c r="IJA43" s="155"/>
      <c r="IJB43" s="155"/>
      <c r="IJC43" s="155"/>
      <c r="IJD43" s="155"/>
      <c r="IJE43" s="155"/>
      <c r="IJF43" s="155"/>
      <c r="IJG43" s="155"/>
      <c r="IJH43" s="155"/>
      <c r="IJI43" s="155"/>
      <c r="IJJ43" s="155"/>
      <c r="IJK43" s="155"/>
      <c r="IJL43" s="155"/>
      <c r="IJM43" s="155"/>
      <c r="IJN43" s="155"/>
      <c r="IJO43" s="155"/>
      <c r="IJP43" s="155"/>
      <c r="IJQ43" s="155"/>
      <c r="IJR43" s="155"/>
      <c r="IJS43" s="155"/>
      <c r="IJT43" s="155"/>
      <c r="IJU43" s="155"/>
      <c r="IJV43" s="155"/>
      <c r="IJW43" s="155"/>
      <c r="IJX43" s="155"/>
      <c r="IJY43" s="155"/>
      <c r="IJZ43" s="155"/>
      <c r="IKA43" s="155"/>
      <c r="IKB43" s="155"/>
      <c r="IKC43" s="155"/>
      <c r="IKD43" s="155"/>
      <c r="IKE43" s="155"/>
      <c r="IKF43" s="155"/>
      <c r="IKG43" s="155"/>
      <c r="IKH43" s="155"/>
      <c r="IKI43" s="155"/>
      <c r="IKJ43" s="155"/>
      <c r="IKK43" s="155"/>
      <c r="IKL43" s="155"/>
      <c r="IKM43" s="155"/>
      <c r="IKN43" s="155"/>
      <c r="IKO43" s="155"/>
      <c r="IKP43" s="155"/>
      <c r="IKQ43" s="155"/>
      <c r="IKR43" s="155"/>
      <c r="IKS43" s="155"/>
      <c r="IKT43" s="155"/>
      <c r="IKU43" s="155"/>
      <c r="IKV43" s="155"/>
      <c r="IKW43" s="155"/>
      <c r="IKX43" s="155"/>
      <c r="IKY43" s="155"/>
      <c r="IKZ43" s="155"/>
      <c r="ILA43" s="155"/>
      <c r="ILB43" s="155"/>
      <c r="ILC43" s="155"/>
      <c r="ILD43" s="155"/>
      <c r="ILE43" s="155"/>
      <c r="ILF43" s="155"/>
      <c r="ILG43" s="155"/>
      <c r="ILH43" s="155"/>
      <c r="ILI43" s="155"/>
      <c r="ILJ43" s="155"/>
      <c r="ILK43" s="155"/>
      <c r="ILL43" s="155"/>
      <c r="ILM43" s="155"/>
      <c r="ILN43" s="155"/>
      <c r="ILO43" s="155"/>
      <c r="ILP43" s="155"/>
      <c r="ILQ43" s="155"/>
      <c r="ILR43" s="155"/>
      <c r="ILS43" s="155"/>
      <c r="ILT43" s="155"/>
      <c r="ILU43" s="155"/>
      <c r="ILV43" s="155"/>
      <c r="ILW43" s="155"/>
      <c r="ILX43" s="155"/>
      <c r="ILY43" s="155"/>
      <c r="ILZ43" s="155"/>
      <c r="IMA43" s="155"/>
      <c r="IMB43" s="155"/>
      <c r="IMC43" s="155"/>
      <c r="IMD43" s="155"/>
      <c r="IME43" s="155"/>
      <c r="IMF43" s="155"/>
      <c r="IMG43" s="155"/>
      <c r="IMH43" s="155"/>
      <c r="IMI43" s="155"/>
      <c r="IMJ43" s="155"/>
      <c r="IMK43" s="155"/>
      <c r="IML43" s="155"/>
      <c r="IMM43" s="155"/>
      <c r="IMN43" s="155"/>
      <c r="IMO43" s="155"/>
      <c r="IMP43" s="155"/>
      <c r="IMQ43" s="155"/>
      <c r="IMR43" s="155"/>
      <c r="IMS43" s="155"/>
      <c r="IMT43" s="155"/>
      <c r="IMU43" s="155"/>
      <c r="IMV43" s="155"/>
      <c r="IMW43" s="155"/>
      <c r="IMX43" s="155"/>
      <c r="IMY43" s="155"/>
      <c r="IMZ43" s="155"/>
      <c r="INA43" s="155"/>
      <c r="INB43" s="155"/>
      <c r="INC43" s="155"/>
      <c r="IND43" s="155"/>
      <c r="INE43" s="155"/>
      <c r="INF43" s="155"/>
      <c r="ING43" s="155"/>
      <c r="INH43" s="155"/>
      <c r="INI43" s="155"/>
      <c r="INJ43" s="155"/>
      <c r="INK43" s="155"/>
      <c r="INL43" s="155"/>
      <c r="INM43" s="155"/>
      <c r="INN43" s="155"/>
      <c r="INO43" s="155"/>
      <c r="INP43" s="155"/>
      <c r="INQ43" s="155"/>
      <c r="INR43" s="155"/>
      <c r="INS43" s="155"/>
      <c r="INT43" s="155"/>
      <c r="INU43" s="155"/>
      <c r="INV43" s="155"/>
      <c r="INW43" s="155"/>
      <c r="INX43" s="155"/>
      <c r="INY43" s="155"/>
      <c r="INZ43" s="155"/>
      <c r="IOA43" s="155"/>
      <c r="IOB43" s="155"/>
      <c r="IOC43" s="155"/>
      <c r="IOD43" s="155"/>
      <c r="IOE43" s="155"/>
      <c r="IOF43" s="155"/>
      <c r="IOG43" s="155"/>
      <c r="IOH43" s="155"/>
      <c r="IOI43" s="155"/>
      <c r="IOJ43" s="155"/>
      <c r="IOK43" s="155"/>
      <c r="IOL43" s="155"/>
      <c r="IOM43" s="155"/>
      <c r="ION43" s="155"/>
      <c r="IOO43" s="155"/>
      <c r="IOP43" s="155"/>
      <c r="IOQ43" s="155"/>
      <c r="IOR43" s="155"/>
      <c r="IOS43" s="155"/>
      <c r="IOT43" s="155"/>
      <c r="IOU43" s="155"/>
      <c r="IOV43" s="155"/>
      <c r="IOW43" s="155"/>
      <c r="IOX43" s="155"/>
      <c r="IOY43" s="155"/>
      <c r="IOZ43" s="155"/>
      <c r="IPA43" s="155"/>
      <c r="IPB43" s="155"/>
      <c r="IPC43" s="155"/>
      <c r="IPD43" s="155"/>
      <c r="IPE43" s="155"/>
      <c r="IPF43" s="155"/>
      <c r="IPG43" s="155"/>
      <c r="IPH43" s="155"/>
      <c r="IPI43" s="155"/>
      <c r="IPJ43" s="155"/>
      <c r="IPK43" s="155"/>
      <c r="IPL43" s="155"/>
      <c r="IPM43" s="155"/>
      <c r="IPN43" s="155"/>
      <c r="IPO43" s="155"/>
      <c r="IPP43" s="155"/>
      <c r="IPQ43" s="155"/>
      <c r="IPR43" s="155"/>
      <c r="IPS43" s="155"/>
      <c r="IPT43" s="155"/>
      <c r="IPU43" s="155"/>
      <c r="IPV43" s="155"/>
      <c r="IPW43" s="155"/>
      <c r="IPX43" s="155"/>
      <c r="IPY43" s="155"/>
      <c r="IPZ43" s="155"/>
      <c r="IQA43" s="155"/>
      <c r="IQB43" s="155"/>
      <c r="IQC43" s="155"/>
      <c r="IQD43" s="155"/>
      <c r="IQE43" s="155"/>
      <c r="IQF43" s="155"/>
      <c r="IQG43" s="155"/>
      <c r="IQH43" s="155"/>
      <c r="IQI43" s="155"/>
      <c r="IQJ43" s="155"/>
      <c r="IQK43" s="155"/>
      <c r="IQL43" s="155"/>
      <c r="IQM43" s="155"/>
      <c r="IQN43" s="155"/>
      <c r="IQO43" s="155"/>
      <c r="IQP43" s="155"/>
      <c r="IQQ43" s="155"/>
      <c r="IQR43" s="155"/>
      <c r="IQS43" s="155"/>
      <c r="IQT43" s="155"/>
      <c r="IQU43" s="155"/>
      <c r="IQV43" s="155"/>
      <c r="IQW43" s="155"/>
      <c r="IQX43" s="155"/>
      <c r="IQY43" s="155"/>
      <c r="IQZ43" s="155"/>
      <c r="IRA43" s="155"/>
      <c r="IRB43" s="155"/>
      <c r="IRC43" s="155"/>
      <c r="IRD43" s="155"/>
      <c r="IRE43" s="155"/>
      <c r="IRF43" s="155"/>
      <c r="IRG43" s="155"/>
      <c r="IRH43" s="155"/>
      <c r="IRI43" s="155"/>
      <c r="IRJ43" s="155"/>
      <c r="IRK43" s="155"/>
      <c r="IRL43" s="155"/>
      <c r="IRM43" s="155"/>
      <c r="IRN43" s="155"/>
      <c r="IRO43" s="155"/>
      <c r="IRP43" s="155"/>
      <c r="IRQ43" s="155"/>
      <c r="IRR43" s="155"/>
      <c r="IRS43" s="155"/>
      <c r="IRT43" s="155"/>
      <c r="IRU43" s="155"/>
      <c r="IRV43" s="155"/>
      <c r="IRW43" s="155"/>
      <c r="IRX43" s="155"/>
      <c r="IRY43" s="155"/>
      <c r="IRZ43" s="155"/>
      <c r="ISA43" s="155"/>
      <c r="ISB43" s="155"/>
      <c r="ISC43" s="155"/>
      <c r="ISD43" s="155"/>
      <c r="ISE43" s="155"/>
      <c r="ISF43" s="155"/>
      <c r="ISG43" s="155"/>
      <c r="ISH43" s="155"/>
      <c r="ISI43" s="155"/>
      <c r="ISJ43" s="155"/>
      <c r="ISK43" s="155"/>
      <c r="ISL43" s="155"/>
      <c r="ISM43" s="155"/>
      <c r="ISN43" s="155"/>
      <c r="ISO43" s="155"/>
      <c r="ISP43" s="155"/>
      <c r="ISQ43" s="155"/>
      <c r="ISR43" s="155"/>
      <c r="ISS43" s="155"/>
      <c r="IST43" s="155"/>
      <c r="ISU43" s="155"/>
      <c r="ISV43" s="155"/>
      <c r="ISW43" s="155"/>
      <c r="ISX43" s="155"/>
      <c r="ISY43" s="155"/>
      <c r="ISZ43" s="155"/>
      <c r="ITA43" s="155"/>
      <c r="ITB43" s="155"/>
      <c r="ITC43" s="155"/>
      <c r="ITD43" s="155"/>
      <c r="ITE43" s="155"/>
      <c r="ITF43" s="155"/>
      <c r="ITG43" s="155"/>
      <c r="ITH43" s="155"/>
      <c r="ITI43" s="155"/>
      <c r="ITJ43" s="155"/>
      <c r="ITK43" s="155"/>
      <c r="ITL43" s="155"/>
      <c r="ITM43" s="155"/>
      <c r="ITN43" s="155"/>
      <c r="ITO43" s="155"/>
      <c r="ITP43" s="155"/>
      <c r="ITQ43" s="155"/>
      <c r="ITR43" s="155"/>
      <c r="ITS43" s="155"/>
      <c r="ITT43" s="155"/>
      <c r="ITU43" s="155"/>
      <c r="ITV43" s="155"/>
      <c r="ITW43" s="155"/>
      <c r="ITX43" s="155"/>
      <c r="ITY43" s="155"/>
      <c r="ITZ43" s="155"/>
      <c r="IUA43" s="155"/>
      <c r="IUB43" s="155"/>
      <c r="IUC43" s="155"/>
      <c r="IUD43" s="155"/>
      <c r="IUE43" s="155"/>
      <c r="IUF43" s="155"/>
      <c r="IUG43" s="155"/>
      <c r="IUH43" s="155"/>
      <c r="IUI43" s="155"/>
      <c r="IUJ43" s="155"/>
      <c r="IUK43" s="155"/>
      <c r="IUL43" s="155"/>
      <c r="IUM43" s="155"/>
      <c r="IUN43" s="155"/>
      <c r="IUO43" s="155"/>
      <c r="IUP43" s="155"/>
      <c r="IUQ43" s="155"/>
      <c r="IUR43" s="155"/>
      <c r="IUS43" s="155"/>
      <c r="IUT43" s="155"/>
      <c r="IUU43" s="155"/>
      <c r="IUV43" s="155"/>
      <c r="IUW43" s="155"/>
      <c r="IUX43" s="155"/>
      <c r="IUY43" s="155"/>
      <c r="IUZ43" s="155"/>
      <c r="IVA43" s="155"/>
      <c r="IVB43" s="155"/>
      <c r="IVC43" s="155"/>
      <c r="IVD43" s="155"/>
      <c r="IVE43" s="155"/>
      <c r="IVF43" s="155"/>
      <c r="IVG43" s="155"/>
      <c r="IVH43" s="155"/>
      <c r="IVI43" s="155"/>
      <c r="IVJ43" s="155"/>
      <c r="IVK43" s="155"/>
      <c r="IVL43" s="155"/>
      <c r="IVM43" s="155"/>
      <c r="IVN43" s="155"/>
      <c r="IVO43" s="155"/>
      <c r="IVP43" s="155"/>
      <c r="IVQ43" s="155"/>
      <c r="IVR43" s="155"/>
      <c r="IVS43" s="155"/>
      <c r="IVT43" s="155"/>
      <c r="IVU43" s="155"/>
      <c r="IVV43" s="155"/>
      <c r="IVW43" s="155"/>
      <c r="IVX43" s="155"/>
      <c r="IVY43" s="155"/>
      <c r="IVZ43" s="155"/>
      <c r="IWA43" s="155"/>
      <c r="IWB43" s="155"/>
      <c r="IWC43" s="155"/>
      <c r="IWD43" s="155"/>
      <c r="IWE43" s="155"/>
      <c r="IWF43" s="155"/>
      <c r="IWG43" s="155"/>
      <c r="IWH43" s="155"/>
      <c r="IWI43" s="155"/>
      <c r="IWJ43" s="155"/>
      <c r="IWK43" s="155"/>
      <c r="IWL43" s="155"/>
      <c r="IWM43" s="155"/>
      <c r="IWN43" s="155"/>
      <c r="IWO43" s="155"/>
      <c r="IWP43" s="155"/>
      <c r="IWQ43" s="155"/>
      <c r="IWR43" s="155"/>
      <c r="IWS43" s="155"/>
      <c r="IWT43" s="155"/>
      <c r="IWU43" s="155"/>
      <c r="IWV43" s="155"/>
      <c r="IWW43" s="155"/>
      <c r="IWX43" s="155"/>
      <c r="IWY43" s="155"/>
      <c r="IWZ43" s="155"/>
      <c r="IXA43" s="155"/>
      <c r="IXB43" s="155"/>
      <c r="IXC43" s="155"/>
      <c r="IXD43" s="155"/>
      <c r="IXE43" s="155"/>
      <c r="IXF43" s="155"/>
      <c r="IXG43" s="155"/>
      <c r="IXH43" s="155"/>
      <c r="IXI43" s="155"/>
      <c r="IXJ43" s="155"/>
      <c r="IXK43" s="155"/>
      <c r="IXL43" s="155"/>
      <c r="IXM43" s="155"/>
      <c r="IXN43" s="155"/>
      <c r="IXO43" s="155"/>
      <c r="IXP43" s="155"/>
      <c r="IXQ43" s="155"/>
      <c r="IXR43" s="155"/>
      <c r="IXS43" s="155"/>
      <c r="IXT43" s="155"/>
      <c r="IXU43" s="155"/>
      <c r="IXV43" s="155"/>
      <c r="IXW43" s="155"/>
      <c r="IXX43" s="155"/>
      <c r="IXY43" s="155"/>
      <c r="IXZ43" s="155"/>
      <c r="IYA43" s="155"/>
      <c r="IYB43" s="155"/>
      <c r="IYC43" s="155"/>
      <c r="IYD43" s="155"/>
      <c r="IYE43" s="155"/>
      <c r="IYF43" s="155"/>
      <c r="IYG43" s="155"/>
      <c r="IYH43" s="155"/>
      <c r="IYI43" s="155"/>
      <c r="IYJ43" s="155"/>
      <c r="IYK43" s="155"/>
      <c r="IYL43" s="155"/>
      <c r="IYM43" s="155"/>
      <c r="IYN43" s="155"/>
      <c r="IYO43" s="155"/>
      <c r="IYP43" s="155"/>
      <c r="IYQ43" s="155"/>
      <c r="IYR43" s="155"/>
      <c r="IYS43" s="155"/>
      <c r="IYT43" s="155"/>
      <c r="IYU43" s="155"/>
      <c r="IYV43" s="155"/>
      <c r="IYW43" s="155"/>
      <c r="IYX43" s="155"/>
      <c r="IYY43" s="155"/>
      <c r="IYZ43" s="155"/>
      <c r="IZA43" s="155"/>
      <c r="IZB43" s="155"/>
      <c r="IZC43" s="155"/>
      <c r="IZD43" s="155"/>
      <c r="IZE43" s="155"/>
      <c r="IZF43" s="155"/>
      <c r="IZG43" s="155"/>
      <c r="IZH43" s="155"/>
      <c r="IZI43" s="155"/>
      <c r="IZJ43" s="155"/>
      <c r="IZK43" s="155"/>
      <c r="IZL43" s="155"/>
      <c r="IZM43" s="155"/>
      <c r="IZN43" s="155"/>
      <c r="IZO43" s="155"/>
      <c r="IZP43" s="155"/>
      <c r="IZQ43" s="155"/>
      <c r="IZR43" s="155"/>
      <c r="IZS43" s="155"/>
      <c r="IZT43" s="155"/>
      <c r="IZU43" s="155"/>
      <c r="IZV43" s="155"/>
      <c r="IZW43" s="155"/>
      <c r="IZX43" s="155"/>
      <c r="IZY43" s="155"/>
      <c r="IZZ43" s="155"/>
      <c r="JAA43" s="155"/>
      <c r="JAB43" s="155"/>
      <c r="JAC43" s="155"/>
      <c r="JAD43" s="155"/>
      <c r="JAE43" s="155"/>
      <c r="JAF43" s="155"/>
      <c r="JAG43" s="155"/>
      <c r="JAH43" s="155"/>
      <c r="JAI43" s="155"/>
      <c r="JAJ43" s="155"/>
      <c r="JAK43" s="155"/>
      <c r="JAL43" s="155"/>
      <c r="JAM43" s="155"/>
      <c r="JAN43" s="155"/>
      <c r="JAO43" s="155"/>
      <c r="JAP43" s="155"/>
      <c r="JAQ43" s="155"/>
      <c r="JAR43" s="155"/>
      <c r="JAS43" s="155"/>
      <c r="JAT43" s="155"/>
      <c r="JAU43" s="155"/>
      <c r="JAV43" s="155"/>
      <c r="JAW43" s="155"/>
      <c r="JAX43" s="155"/>
      <c r="JAY43" s="155"/>
      <c r="JAZ43" s="155"/>
      <c r="JBA43" s="155"/>
      <c r="JBB43" s="155"/>
      <c r="JBC43" s="155"/>
      <c r="JBD43" s="155"/>
      <c r="JBE43" s="155"/>
      <c r="JBF43" s="155"/>
      <c r="JBG43" s="155"/>
      <c r="JBH43" s="155"/>
      <c r="JBI43" s="155"/>
      <c r="JBJ43" s="155"/>
      <c r="JBK43" s="155"/>
      <c r="JBL43" s="155"/>
      <c r="JBM43" s="155"/>
      <c r="JBN43" s="155"/>
      <c r="JBO43" s="155"/>
      <c r="JBP43" s="155"/>
      <c r="JBQ43" s="155"/>
      <c r="JBR43" s="155"/>
      <c r="JBS43" s="155"/>
      <c r="JBT43" s="155"/>
      <c r="JBU43" s="155"/>
      <c r="JBV43" s="155"/>
      <c r="JBW43" s="155"/>
      <c r="JBX43" s="155"/>
      <c r="JBY43" s="155"/>
      <c r="JBZ43" s="155"/>
      <c r="JCA43" s="155"/>
      <c r="JCB43" s="155"/>
      <c r="JCC43" s="155"/>
      <c r="JCD43" s="155"/>
      <c r="JCE43" s="155"/>
      <c r="JCF43" s="155"/>
      <c r="JCG43" s="155"/>
      <c r="JCH43" s="155"/>
      <c r="JCI43" s="155"/>
      <c r="JCJ43" s="155"/>
      <c r="JCK43" s="155"/>
      <c r="JCL43" s="155"/>
      <c r="JCM43" s="155"/>
      <c r="JCN43" s="155"/>
      <c r="JCO43" s="155"/>
      <c r="JCP43" s="155"/>
      <c r="JCQ43" s="155"/>
      <c r="JCR43" s="155"/>
      <c r="JCS43" s="155"/>
      <c r="JCT43" s="155"/>
      <c r="JCU43" s="155"/>
      <c r="JCV43" s="155"/>
      <c r="JCW43" s="155"/>
      <c r="JCX43" s="155"/>
      <c r="JCY43" s="155"/>
      <c r="JCZ43" s="155"/>
      <c r="JDA43" s="155"/>
      <c r="JDB43" s="155"/>
      <c r="JDC43" s="155"/>
      <c r="JDD43" s="155"/>
      <c r="JDE43" s="155"/>
      <c r="JDF43" s="155"/>
      <c r="JDG43" s="155"/>
      <c r="JDH43" s="155"/>
      <c r="JDI43" s="155"/>
      <c r="JDJ43" s="155"/>
      <c r="JDK43" s="155"/>
      <c r="JDL43" s="155"/>
      <c r="JDM43" s="155"/>
      <c r="JDN43" s="155"/>
      <c r="JDO43" s="155"/>
      <c r="JDP43" s="155"/>
      <c r="JDQ43" s="155"/>
      <c r="JDR43" s="155"/>
      <c r="JDS43" s="155"/>
      <c r="JDT43" s="155"/>
      <c r="JDU43" s="155"/>
      <c r="JDV43" s="155"/>
      <c r="JDW43" s="155"/>
      <c r="JDX43" s="155"/>
      <c r="JDY43" s="155"/>
      <c r="JDZ43" s="155"/>
      <c r="JEA43" s="155"/>
      <c r="JEB43" s="155"/>
      <c r="JEC43" s="155"/>
      <c r="JED43" s="155"/>
      <c r="JEE43" s="155"/>
      <c r="JEF43" s="155"/>
      <c r="JEG43" s="155"/>
      <c r="JEH43" s="155"/>
      <c r="JEI43" s="155"/>
      <c r="JEJ43" s="155"/>
      <c r="JEK43" s="155"/>
      <c r="JEL43" s="155"/>
      <c r="JEM43" s="155"/>
      <c r="JEN43" s="155"/>
      <c r="JEO43" s="155"/>
      <c r="JEP43" s="155"/>
      <c r="JEQ43" s="155"/>
      <c r="JER43" s="155"/>
      <c r="JES43" s="155"/>
      <c r="JET43" s="155"/>
      <c r="JEU43" s="155"/>
      <c r="JEV43" s="155"/>
      <c r="JEW43" s="155"/>
      <c r="JEX43" s="155"/>
      <c r="JEY43" s="155"/>
      <c r="JEZ43" s="155"/>
      <c r="JFA43" s="155"/>
      <c r="JFB43" s="155"/>
      <c r="JFC43" s="155"/>
      <c r="JFD43" s="155"/>
      <c r="JFE43" s="155"/>
      <c r="JFF43" s="155"/>
      <c r="JFG43" s="155"/>
      <c r="JFH43" s="155"/>
      <c r="JFI43" s="155"/>
      <c r="JFJ43" s="155"/>
      <c r="JFK43" s="155"/>
      <c r="JFL43" s="155"/>
      <c r="JFM43" s="155"/>
      <c r="JFN43" s="155"/>
      <c r="JFO43" s="155"/>
      <c r="JFP43" s="155"/>
      <c r="JFQ43" s="155"/>
      <c r="JFR43" s="155"/>
      <c r="JFS43" s="155"/>
      <c r="JFT43" s="155"/>
      <c r="JFU43" s="155"/>
      <c r="JFV43" s="155"/>
      <c r="JFW43" s="155"/>
      <c r="JFX43" s="155"/>
      <c r="JFY43" s="155"/>
      <c r="JFZ43" s="155"/>
      <c r="JGA43" s="155"/>
      <c r="JGB43" s="155"/>
      <c r="JGC43" s="155"/>
      <c r="JGD43" s="155"/>
      <c r="JGE43" s="155"/>
      <c r="JGF43" s="155"/>
      <c r="JGG43" s="155"/>
      <c r="JGH43" s="155"/>
      <c r="JGI43" s="155"/>
      <c r="JGJ43" s="155"/>
      <c r="JGK43" s="155"/>
      <c r="JGL43" s="155"/>
      <c r="JGM43" s="155"/>
      <c r="JGN43" s="155"/>
      <c r="JGO43" s="155"/>
      <c r="JGP43" s="155"/>
      <c r="JGQ43" s="155"/>
      <c r="JGR43" s="155"/>
      <c r="JGS43" s="155"/>
      <c r="JGT43" s="155"/>
      <c r="JGU43" s="155"/>
      <c r="JGV43" s="155"/>
      <c r="JGW43" s="155"/>
      <c r="JGX43" s="155"/>
      <c r="JGY43" s="155"/>
      <c r="JGZ43" s="155"/>
      <c r="JHA43" s="155"/>
      <c r="JHB43" s="155"/>
      <c r="JHC43" s="155"/>
      <c r="JHD43" s="155"/>
      <c r="JHE43" s="155"/>
      <c r="JHF43" s="155"/>
      <c r="JHG43" s="155"/>
      <c r="JHH43" s="155"/>
      <c r="JHI43" s="155"/>
      <c r="JHJ43" s="155"/>
      <c r="JHK43" s="155"/>
      <c r="JHL43" s="155"/>
      <c r="JHM43" s="155"/>
      <c r="JHN43" s="155"/>
      <c r="JHO43" s="155"/>
      <c r="JHP43" s="155"/>
      <c r="JHQ43" s="155"/>
      <c r="JHR43" s="155"/>
      <c r="JHS43" s="155"/>
      <c r="JHT43" s="155"/>
      <c r="JHU43" s="155"/>
      <c r="JHV43" s="155"/>
      <c r="JHW43" s="155"/>
      <c r="JHX43" s="155"/>
      <c r="JHY43" s="155"/>
      <c r="JHZ43" s="155"/>
      <c r="JIA43" s="155"/>
      <c r="JIB43" s="155"/>
      <c r="JIC43" s="155"/>
      <c r="JID43" s="155"/>
      <c r="JIE43" s="155"/>
      <c r="JIF43" s="155"/>
      <c r="JIG43" s="155"/>
      <c r="JIH43" s="155"/>
      <c r="JII43" s="155"/>
      <c r="JIJ43" s="155"/>
      <c r="JIK43" s="155"/>
      <c r="JIL43" s="155"/>
      <c r="JIM43" s="155"/>
      <c r="JIN43" s="155"/>
      <c r="JIO43" s="155"/>
      <c r="JIP43" s="155"/>
      <c r="JIQ43" s="155"/>
      <c r="JIR43" s="155"/>
      <c r="JIS43" s="155"/>
      <c r="JIT43" s="155"/>
      <c r="JIU43" s="155"/>
      <c r="JIV43" s="155"/>
      <c r="JIW43" s="155"/>
      <c r="JIX43" s="155"/>
      <c r="JIY43" s="155"/>
      <c r="JIZ43" s="155"/>
      <c r="JJA43" s="155"/>
      <c r="JJB43" s="155"/>
      <c r="JJC43" s="155"/>
      <c r="JJD43" s="155"/>
      <c r="JJE43" s="155"/>
      <c r="JJF43" s="155"/>
      <c r="JJG43" s="155"/>
      <c r="JJH43" s="155"/>
      <c r="JJI43" s="155"/>
      <c r="JJJ43" s="155"/>
      <c r="JJK43" s="155"/>
      <c r="JJL43" s="155"/>
      <c r="JJM43" s="155"/>
      <c r="JJN43" s="155"/>
      <c r="JJO43" s="155"/>
      <c r="JJP43" s="155"/>
      <c r="JJQ43" s="155"/>
      <c r="JJR43" s="155"/>
      <c r="JJS43" s="155"/>
      <c r="JJT43" s="155"/>
      <c r="JJU43" s="155"/>
      <c r="JJV43" s="155"/>
      <c r="JJW43" s="155"/>
      <c r="JJX43" s="155"/>
      <c r="JJY43" s="155"/>
      <c r="JJZ43" s="155"/>
      <c r="JKA43" s="155"/>
      <c r="JKB43" s="155"/>
      <c r="JKC43" s="155"/>
      <c r="JKD43" s="155"/>
      <c r="JKE43" s="155"/>
      <c r="JKF43" s="155"/>
      <c r="JKG43" s="155"/>
      <c r="JKH43" s="155"/>
      <c r="JKI43" s="155"/>
      <c r="JKJ43" s="155"/>
      <c r="JKK43" s="155"/>
      <c r="JKL43" s="155"/>
      <c r="JKM43" s="155"/>
      <c r="JKN43" s="155"/>
      <c r="JKO43" s="155"/>
      <c r="JKP43" s="155"/>
      <c r="JKQ43" s="155"/>
      <c r="JKR43" s="155"/>
      <c r="JKS43" s="155"/>
      <c r="JKT43" s="155"/>
      <c r="JKU43" s="155"/>
      <c r="JKV43" s="155"/>
      <c r="JKW43" s="155"/>
      <c r="JKX43" s="155"/>
      <c r="JKY43" s="155"/>
      <c r="JKZ43" s="155"/>
      <c r="JLA43" s="155"/>
      <c r="JLB43" s="155"/>
      <c r="JLC43" s="155"/>
      <c r="JLD43" s="155"/>
      <c r="JLE43" s="155"/>
      <c r="JLF43" s="155"/>
      <c r="JLG43" s="155"/>
      <c r="JLH43" s="155"/>
      <c r="JLI43" s="155"/>
      <c r="JLJ43" s="155"/>
      <c r="JLK43" s="155"/>
      <c r="JLL43" s="155"/>
      <c r="JLM43" s="155"/>
      <c r="JLN43" s="155"/>
      <c r="JLO43" s="155"/>
      <c r="JLP43" s="155"/>
      <c r="JLQ43" s="155"/>
      <c r="JLR43" s="155"/>
      <c r="JLS43" s="155"/>
      <c r="JLT43" s="155"/>
      <c r="JLU43" s="155"/>
      <c r="JLV43" s="155"/>
      <c r="JLW43" s="155"/>
      <c r="JLX43" s="155"/>
      <c r="JLY43" s="155"/>
      <c r="JLZ43" s="155"/>
      <c r="JMA43" s="155"/>
      <c r="JMB43" s="155"/>
      <c r="JMC43" s="155"/>
      <c r="JMD43" s="155"/>
      <c r="JME43" s="155"/>
      <c r="JMF43" s="155"/>
      <c r="JMG43" s="155"/>
      <c r="JMH43" s="155"/>
      <c r="JMI43" s="155"/>
      <c r="JMJ43" s="155"/>
      <c r="JMK43" s="155"/>
      <c r="JML43" s="155"/>
      <c r="JMM43" s="155"/>
      <c r="JMN43" s="155"/>
      <c r="JMO43" s="155"/>
      <c r="JMP43" s="155"/>
      <c r="JMQ43" s="155"/>
      <c r="JMR43" s="155"/>
      <c r="JMS43" s="155"/>
      <c r="JMT43" s="155"/>
      <c r="JMU43" s="155"/>
      <c r="JMV43" s="155"/>
      <c r="JMW43" s="155"/>
      <c r="JMX43" s="155"/>
      <c r="JMY43" s="155"/>
      <c r="JMZ43" s="155"/>
      <c r="JNA43" s="155"/>
      <c r="JNB43" s="155"/>
      <c r="JNC43" s="155"/>
      <c r="JND43" s="155"/>
      <c r="JNE43" s="155"/>
      <c r="JNF43" s="155"/>
      <c r="JNG43" s="155"/>
      <c r="JNH43" s="155"/>
      <c r="JNI43" s="155"/>
      <c r="JNJ43" s="155"/>
      <c r="JNK43" s="155"/>
      <c r="JNL43" s="155"/>
      <c r="JNM43" s="155"/>
      <c r="JNN43" s="155"/>
      <c r="JNO43" s="155"/>
      <c r="JNP43" s="155"/>
      <c r="JNQ43" s="155"/>
      <c r="JNR43" s="155"/>
      <c r="JNS43" s="155"/>
      <c r="JNT43" s="155"/>
      <c r="JNU43" s="155"/>
      <c r="JNV43" s="155"/>
      <c r="JNW43" s="155"/>
      <c r="JNX43" s="155"/>
      <c r="JNY43" s="155"/>
      <c r="JNZ43" s="155"/>
      <c r="JOA43" s="155"/>
      <c r="JOB43" s="155"/>
      <c r="JOC43" s="155"/>
      <c r="JOD43" s="155"/>
      <c r="JOE43" s="155"/>
      <c r="JOF43" s="155"/>
      <c r="JOG43" s="155"/>
      <c r="JOH43" s="155"/>
      <c r="JOI43" s="155"/>
      <c r="JOJ43" s="155"/>
      <c r="JOK43" s="155"/>
      <c r="JOL43" s="155"/>
      <c r="JOM43" s="155"/>
      <c r="JON43" s="155"/>
      <c r="JOO43" s="155"/>
      <c r="JOP43" s="155"/>
      <c r="JOQ43" s="155"/>
      <c r="JOR43" s="155"/>
      <c r="JOS43" s="155"/>
      <c r="JOT43" s="155"/>
      <c r="JOU43" s="155"/>
      <c r="JOV43" s="155"/>
      <c r="JOW43" s="155"/>
      <c r="JOX43" s="155"/>
      <c r="JOY43" s="155"/>
      <c r="JOZ43" s="155"/>
      <c r="JPA43" s="155"/>
      <c r="JPB43" s="155"/>
      <c r="JPC43" s="155"/>
      <c r="JPD43" s="155"/>
      <c r="JPE43" s="155"/>
      <c r="JPF43" s="155"/>
      <c r="JPG43" s="155"/>
      <c r="JPH43" s="155"/>
      <c r="JPI43" s="155"/>
      <c r="JPJ43" s="155"/>
      <c r="JPK43" s="155"/>
      <c r="JPL43" s="155"/>
      <c r="JPM43" s="155"/>
      <c r="JPN43" s="155"/>
      <c r="JPO43" s="155"/>
      <c r="JPP43" s="155"/>
      <c r="JPQ43" s="155"/>
      <c r="JPR43" s="155"/>
      <c r="JPS43" s="155"/>
      <c r="JPT43" s="155"/>
      <c r="JPU43" s="155"/>
      <c r="JPV43" s="155"/>
      <c r="JPW43" s="155"/>
      <c r="JPX43" s="155"/>
      <c r="JPY43" s="155"/>
      <c r="JPZ43" s="155"/>
      <c r="JQA43" s="155"/>
      <c r="JQB43" s="155"/>
      <c r="JQC43" s="155"/>
      <c r="JQD43" s="155"/>
      <c r="JQE43" s="155"/>
      <c r="JQF43" s="155"/>
      <c r="JQG43" s="155"/>
      <c r="JQH43" s="155"/>
      <c r="JQI43" s="155"/>
      <c r="JQJ43" s="155"/>
      <c r="JQK43" s="155"/>
      <c r="JQL43" s="155"/>
      <c r="JQM43" s="155"/>
      <c r="JQN43" s="155"/>
      <c r="JQO43" s="155"/>
      <c r="JQP43" s="155"/>
      <c r="JQQ43" s="155"/>
      <c r="JQR43" s="155"/>
      <c r="JQS43" s="155"/>
      <c r="JQT43" s="155"/>
      <c r="JQU43" s="155"/>
      <c r="JQV43" s="155"/>
      <c r="JQW43" s="155"/>
      <c r="JQX43" s="155"/>
      <c r="JQY43" s="155"/>
      <c r="JQZ43" s="155"/>
      <c r="JRA43" s="155"/>
      <c r="JRB43" s="155"/>
      <c r="JRC43" s="155"/>
      <c r="JRD43" s="155"/>
      <c r="JRE43" s="155"/>
      <c r="JRF43" s="155"/>
      <c r="JRG43" s="155"/>
      <c r="JRH43" s="155"/>
      <c r="JRI43" s="155"/>
      <c r="JRJ43" s="155"/>
      <c r="JRK43" s="155"/>
      <c r="JRL43" s="155"/>
      <c r="JRM43" s="155"/>
      <c r="JRN43" s="155"/>
      <c r="JRO43" s="155"/>
      <c r="JRP43" s="155"/>
      <c r="JRQ43" s="155"/>
      <c r="JRR43" s="155"/>
      <c r="JRS43" s="155"/>
      <c r="JRT43" s="155"/>
      <c r="JRU43" s="155"/>
      <c r="JRV43" s="155"/>
      <c r="JRW43" s="155"/>
      <c r="JRX43" s="155"/>
      <c r="JRY43" s="155"/>
      <c r="JRZ43" s="155"/>
      <c r="JSA43" s="155"/>
      <c r="JSB43" s="155"/>
      <c r="JSC43" s="155"/>
      <c r="JSD43" s="155"/>
      <c r="JSE43" s="155"/>
      <c r="JSF43" s="155"/>
      <c r="JSG43" s="155"/>
      <c r="JSH43" s="155"/>
      <c r="JSI43" s="155"/>
      <c r="JSJ43" s="155"/>
      <c r="JSK43" s="155"/>
      <c r="JSL43" s="155"/>
      <c r="JSM43" s="155"/>
      <c r="JSN43" s="155"/>
      <c r="JSO43" s="155"/>
      <c r="JSP43" s="155"/>
      <c r="JSQ43" s="155"/>
      <c r="JSR43" s="155"/>
      <c r="JSS43" s="155"/>
      <c r="JST43" s="155"/>
      <c r="JSU43" s="155"/>
      <c r="JSV43" s="155"/>
      <c r="JSW43" s="155"/>
      <c r="JSX43" s="155"/>
      <c r="JSY43" s="155"/>
      <c r="JSZ43" s="155"/>
      <c r="JTA43" s="155"/>
      <c r="JTB43" s="155"/>
      <c r="JTC43" s="155"/>
      <c r="JTD43" s="155"/>
      <c r="JTE43" s="155"/>
      <c r="JTF43" s="155"/>
      <c r="JTG43" s="155"/>
      <c r="JTH43" s="155"/>
      <c r="JTI43" s="155"/>
      <c r="JTJ43" s="155"/>
      <c r="JTK43" s="155"/>
      <c r="JTL43" s="155"/>
      <c r="JTM43" s="155"/>
      <c r="JTN43" s="155"/>
      <c r="JTO43" s="155"/>
      <c r="JTP43" s="155"/>
      <c r="JTQ43" s="155"/>
      <c r="JTR43" s="155"/>
      <c r="JTS43" s="155"/>
      <c r="JTT43" s="155"/>
      <c r="JTU43" s="155"/>
      <c r="JTV43" s="155"/>
      <c r="JTW43" s="155"/>
      <c r="JTX43" s="155"/>
      <c r="JTY43" s="155"/>
      <c r="JTZ43" s="155"/>
      <c r="JUA43" s="155"/>
      <c r="JUB43" s="155"/>
      <c r="JUC43" s="155"/>
      <c r="JUD43" s="155"/>
      <c r="JUE43" s="155"/>
      <c r="JUF43" s="155"/>
      <c r="JUG43" s="155"/>
      <c r="JUH43" s="155"/>
      <c r="JUI43" s="155"/>
      <c r="JUJ43" s="155"/>
      <c r="JUK43" s="155"/>
      <c r="JUL43" s="155"/>
      <c r="JUM43" s="155"/>
      <c r="JUN43" s="155"/>
      <c r="JUO43" s="155"/>
      <c r="JUP43" s="155"/>
      <c r="JUQ43" s="155"/>
      <c r="JUR43" s="155"/>
      <c r="JUS43" s="155"/>
      <c r="JUT43" s="155"/>
      <c r="JUU43" s="155"/>
      <c r="JUV43" s="155"/>
      <c r="JUW43" s="155"/>
      <c r="JUX43" s="155"/>
      <c r="JUY43" s="155"/>
      <c r="JUZ43" s="155"/>
      <c r="JVA43" s="155"/>
      <c r="JVB43" s="155"/>
      <c r="JVC43" s="155"/>
      <c r="JVD43" s="155"/>
      <c r="JVE43" s="155"/>
      <c r="JVF43" s="155"/>
      <c r="JVG43" s="155"/>
      <c r="JVH43" s="155"/>
      <c r="JVI43" s="155"/>
      <c r="JVJ43" s="155"/>
      <c r="JVK43" s="155"/>
      <c r="JVL43" s="155"/>
      <c r="JVM43" s="155"/>
      <c r="JVN43" s="155"/>
      <c r="JVO43" s="155"/>
      <c r="JVP43" s="155"/>
      <c r="JVQ43" s="155"/>
      <c r="JVR43" s="155"/>
      <c r="JVS43" s="155"/>
      <c r="JVT43" s="155"/>
      <c r="JVU43" s="155"/>
      <c r="JVV43" s="155"/>
      <c r="JVW43" s="155"/>
      <c r="JVX43" s="155"/>
      <c r="JVY43" s="155"/>
      <c r="JVZ43" s="155"/>
      <c r="JWA43" s="155"/>
      <c r="JWB43" s="155"/>
      <c r="JWC43" s="155"/>
      <c r="JWD43" s="155"/>
      <c r="JWE43" s="155"/>
      <c r="JWF43" s="155"/>
      <c r="JWG43" s="155"/>
      <c r="JWH43" s="155"/>
      <c r="JWI43" s="155"/>
      <c r="JWJ43" s="155"/>
      <c r="JWK43" s="155"/>
      <c r="JWL43" s="155"/>
      <c r="JWM43" s="155"/>
      <c r="JWN43" s="155"/>
      <c r="JWO43" s="155"/>
      <c r="JWP43" s="155"/>
      <c r="JWQ43" s="155"/>
      <c r="JWR43" s="155"/>
      <c r="JWS43" s="155"/>
      <c r="JWT43" s="155"/>
      <c r="JWU43" s="155"/>
      <c r="JWV43" s="155"/>
      <c r="JWW43" s="155"/>
      <c r="JWX43" s="155"/>
      <c r="JWY43" s="155"/>
      <c r="JWZ43" s="155"/>
      <c r="JXA43" s="155"/>
      <c r="JXB43" s="155"/>
      <c r="JXC43" s="155"/>
      <c r="JXD43" s="155"/>
      <c r="JXE43" s="155"/>
      <c r="JXF43" s="155"/>
      <c r="JXG43" s="155"/>
      <c r="JXH43" s="155"/>
      <c r="JXI43" s="155"/>
      <c r="JXJ43" s="155"/>
      <c r="JXK43" s="155"/>
      <c r="JXL43" s="155"/>
      <c r="JXM43" s="155"/>
      <c r="JXN43" s="155"/>
      <c r="JXO43" s="155"/>
      <c r="JXP43" s="155"/>
      <c r="JXQ43" s="155"/>
      <c r="JXR43" s="155"/>
      <c r="JXS43" s="155"/>
      <c r="JXT43" s="155"/>
      <c r="JXU43" s="155"/>
      <c r="JXV43" s="155"/>
      <c r="JXW43" s="155"/>
      <c r="JXX43" s="155"/>
      <c r="JXY43" s="155"/>
      <c r="JXZ43" s="155"/>
      <c r="JYA43" s="155"/>
      <c r="JYB43" s="155"/>
      <c r="JYC43" s="155"/>
      <c r="JYD43" s="155"/>
      <c r="JYE43" s="155"/>
      <c r="JYF43" s="155"/>
      <c r="JYG43" s="155"/>
      <c r="JYH43" s="155"/>
      <c r="JYI43" s="155"/>
      <c r="JYJ43" s="155"/>
      <c r="JYK43" s="155"/>
      <c r="JYL43" s="155"/>
      <c r="JYM43" s="155"/>
      <c r="JYN43" s="155"/>
      <c r="JYO43" s="155"/>
      <c r="JYP43" s="155"/>
      <c r="JYQ43" s="155"/>
      <c r="JYR43" s="155"/>
      <c r="JYS43" s="155"/>
      <c r="JYT43" s="155"/>
      <c r="JYU43" s="155"/>
      <c r="JYV43" s="155"/>
      <c r="JYW43" s="155"/>
      <c r="JYX43" s="155"/>
      <c r="JYY43" s="155"/>
      <c r="JYZ43" s="155"/>
      <c r="JZA43" s="155"/>
      <c r="JZB43" s="155"/>
      <c r="JZC43" s="155"/>
      <c r="JZD43" s="155"/>
      <c r="JZE43" s="155"/>
      <c r="JZF43" s="155"/>
      <c r="JZG43" s="155"/>
      <c r="JZH43" s="155"/>
      <c r="JZI43" s="155"/>
      <c r="JZJ43" s="155"/>
      <c r="JZK43" s="155"/>
      <c r="JZL43" s="155"/>
      <c r="JZM43" s="155"/>
      <c r="JZN43" s="155"/>
      <c r="JZO43" s="155"/>
      <c r="JZP43" s="155"/>
      <c r="JZQ43" s="155"/>
      <c r="JZR43" s="155"/>
      <c r="JZS43" s="155"/>
      <c r="JZT43" s="155"/>
      <c r="JZU43" s="155"/>
      <c r="JZV43" s="155"/>
      <c r="JZW43" s="155"/>
      <c r="JZX43" s="155"/>
      <c r="JZY43" s="155"/>
      <c r="JZZ43" s="155"/>
      <c r="KAA43" s="155"/>
      <c r="KAB43" s="155"/>
      <c r="KAC43" s="155"/>
      <c r="KAD43" s="155"/>
      <c r="KAE43" s="155"/>
      <c r="KAF43" s="155"/>
      <c r="KAG43" s="155"/>
      <c r="KAH43" s="155"/>
      <c r="KAI43" s="155"/>
      <c r="KAJ43" s="155"/>
      <c r="KAK43" s="155"/>
      <c r="KAL43" s="155"/>
      <c r="KAM43" s="155"/>
      <c r="KAN43" s="155"/>
      <c r="KAO43" s="155"/>
      <c r="KAP43" s="155"/>
      <c r="KAQ43" s="155"/>
      <c r="KAR43" s="155"/>
      <c r="KAS43" s="155"/>
      <c r="KAT43" s="155"/>
      <c r="KAU43" s="155"/>
      <c r="KAV43" s="155"/>
      <c r="KAW43" s="155"/>
      <c r="KAX43" s="155"/>
      <c r="KAY43" s="155"/>
      <c r="KAZ43" s="155"/>
      <c r="KBA43" s="155"/>
      <c r="KBB43" s="155"/>
      <c r="KBC43" s="155"/>
      <c r="KBD43" s="155"/>
      <c r="KBE43" s="155"/>
      <c r="KBF43" s="155"/>
      <c r="KBG43" s="155"/>
      <c r="KBH43" s="155"/>
      <c r="KBI43" s="155"/>
      <c r="KBJ43" s="155"/>
      <c r="KBK43" s="155"/>
      <c r="KBL43" s="155"/>
      <c r="KBM43" s="155"/>
      <c r="KBN43" s="155"/>
      <c r="KBO43" s="155"/>
      <c r="KBP43" s="155"/>
      <c r="KBQ43" s="155"/>
      <c r="KBR43" s="155"/>
      <c r="KBS43" s="155"/>
      <c r="KBT43" s="155"/>
      <c r="KBU43" s="155"/>
      <c r="KBV43" s="155"/>
      <c r="KBW43" s="155"/>
      <c r="KBX43" s="155"/>
      <c r="KBY43" s="155"/>
      <c r="KBZ43" s="155"/>
      <c r="KCA43" s="155"/>
      <c r="KCB43" s="155"/>
      <c r="KCC43" s="155"/>
      <c r="KCD43" s="155"/>
      <c r="KCE43" s="155"/>
      <c r="KCF43" s="155"/>
      <c r="KCG43" s="155"/>
      <c r="KCH43" s="155"/>
      <c r="KCI43" s="155"/>
      <c r="KCJ43" s="155"/>
      <c r="KCK43" s="155"/>
      <c r="KCL43" s="155"/>
      <c r="KCM43" s="155"/>
      <c r="KCN43" s="155"/>
      <c r="KCO43" s="155"/>
      <c r="KCP43" s="155"/>
      <c r="KCQ43" s="155"/>
      <c r="KCR43" s="155"/>
      <c r="KCS43" s="155"/>
      <c r="KCT43" s="155"/>
      <c r="KCU43" s="155"/>
      <c r="KCV43" s="155"/>
      <c r="KCW43" s="155"/>
      <c r="KCX43" s="155"/>
      <c r="KCY43" s="155"/>
      <c r="KCZ43" s="155"/>
      <c r="KDA43" s="155"/>
      <c r="KDB43" s="155"/>
      <c r="KDC43" s="155"/>
      <c r="KDD43" s="155"/>
      <c r="KDE43" s="155"/>
      <c r="KDF43" s="155"/>
      <c r="KDG43" s="155"/>
      <c r="KDH43" s="155"/>
      <c r="KDI43" s="155"/>
      <c r="KDJ43" s="155"/>
      <c r="KDK43" s="155"/>
      <c r="KDL43" s="155"/>
      <c r="KDM43" s="155"/>
      <c r="KDN43" s="155"/>
      <c r="KDO43" s="155"/>
      <c r="KDP43" s="155"/>
      <c r="KDQ43" s="155"/>
      <c r="KDR43" s="155"/>
      <c r="KDS43" s="155"/>
      <c r="KDT43" s="155"/>
      <c r="KDU43" s="155"/>
      <c r="KDV43" s="155"/>
      <c r="KDW43" s="155"/>
      <c r="KDX43" s="155"/>
      <c r="KDY43" s="155"/>
      <c r="KDZ43" s="155"/>
      <c r="KEA43" s="155"/>
      <c r="KEB43" s="155"/>
      <c r="KEC43" s="155"/>
      <c r="KED43" s="155"/>
      <c r="KEE43" s="155"/>
      <c r="KEF43" s="155"/>
      <c r="KEG43" s="155"/>
      <c r="KEH43" s="155"/>
      <c r="KEI43" s="155"/>
      <c r="KEJ43" s="155"/>
      <c r="KEK43" s="155"/>
      <c r="KEL43" s="155"/>
      <c r="KEM43" s="155"/>
      <c r="KEN43" s="155"/>
      <c r="KEO43" s="155"/>
      <c r="KEP43" s="155"/>
      <c r="KEQ43" s="155"/>
      <c r="KER43" s="155"/>
      <c r="KES43" s="155"/>
      <c r="KET43" s="155"/>
      <c r="KEU43" s="155"/>
      <c r="KEV43" s="155"/>
      <c r="KEW43" s="155"/>
      <c r="KEX43" s="155"/>
      <c r="KEY43" s="155"/>
      <c r="KEZ43" s="155"/>
      <c r="KFA43" s="155"/>
      <c r="KFB43" s="155"/>
      <c r="KFC43" s="155"/>
      <c r="KFD43" s="155"/>
      <c r="KFE43" s="155"/>
      <c r="KFF43" s="155"/>
      <c r="KFG43" s="155"/>
      <c r="KFH43" s="155"/>
      <c r="KFI43" s="155"/>
      <c r="KFJ43" s="155"/>
      <c r="KFK43" s="155"/>
      <c r="KFL43" s="155"/>
      <c r="KFM43" s="155"/>
      <c r="KFN43" s="155"/>
      <c r="KFO43" s="155"/>
      <c r="KFP43" s="155"/>
      <c r="KFQ43" s="155"/>
      <c r="KFR43" s="155"/>
      <c r="KFS43" s="155"/>
      <c r="KFT43" s="155"/>
      <c r="KFU43" s="155"/>
      <c r="KFV43" s="155"/>
      <c r="KFW43" s="155"/>
      <c r="KFX43" s="155"/>
      <c r="KFY43" s="155"/>
      <c r="KFZ43" s="155"/>
      <c r="KGA43" s="155"/>
      <c r="KGB43" s="155"/>
      <c r="KGC43" s="155"/>
      <c r="KGD43" s="155"/>
      <c r="KGE43" s="155"/>
      <c r="KGF43" s="155"/>
      <c r="KGG43" s="155"/>
      <c r="KGH43" s="155"/>
      <c r="KGI43" s="155"/>
      <c r="KGJ43" s="155"/>
      <c r="KGK43" s="155"/>
      <c r="KGL43" s="155"/>
      <c r="KGM43" s="155"/>
      <c r="KGN43" s="155"/>
      <c r="KGO43" s="155"/>
      <c r="KGP43" s="155"/>
      <c r="KGQ43" s="155"/>
      <c r="KGR43" s="155"/>
      <c r="KGS43" s="155"/>
      <c r="KGT43" s="155"/>
      <c r="KGU43" s="155"/>
      <c r="KGV43" s="155"/>
      <c r="KGW43" s="155"/>
      <c r="KGX43" s="155"/>
      <c r="KGY43" s="155"/>
      <c r="KGZ43" s="155"/>
      <c r="KHA43" s="155"/>
      <c r="KHB43" s="155"/>
      <c r="KHC43" s="155"/>
      <c r="KHD43" s="155"/>
      <c r="KHE43" s="155"/>
      <c r="KHF43" s="155"/>
      <c r="KHG43" s="155"/>
      <c r="KHH43" s="155"/>
      <c r="KHI43" s="155"/>
      <c r="KHJ43" s="155"/>
      <c r="KHK43" s="155"/>
      <c r="KHL43" s="155"/>
      <c r="KHM43" s="155"/>
      <c r="KHN43" s="155"/>
      <c r="KHO43" s="155"/>
      <c r="KHP43" s="155"/>
      <c r="KHQ43" s="155"/>
      <c r="KHR43" s="155"/>
      <c r="KHS43" s="155"/>
      <c r="KHT43" s="155"/>
      <c r="KHU43" s="155"/>
      <c r="KHV43" s="155"/>
      <c r="KHW43" s="155"/>
      <c r="KHX43" s="155"/>
      <c r="KHY43" s="155"/>
      <c r="KHZ43" s="155"/>
      <c r="KIA43" s="155"/>
      <c r="KIB43" s="155"/>
      <c r="KIC43" s="155"/>
      <c r="KID43" s="155"/>
      <c r="KIE43" s="155"/>
      <c r="KIF43" s="155"/>
      <c r="KIG43" s="155"/>
      <c r="KIH43" s="155"/>
      <c r="KII43" s="155"/>
      <c r="KIJ43" s="155"/>
      <c r="KIK43" s="155"/>
      <c r="KIL43" s="155"/>
      <c r="KIM43" s="155"/>
      <c r="KIN43" s="155"/>
      <c r="KIO43" s="155"/>
      <c r="KIP43" s="155"/>
      <c r="KIQ43" s="155"/>
      <c r="KIR43" s="155"/>
      <c r="KIS43" s="155"/>
      <c r="KIT43" s="155"/>
      <c r="KIU43" s="155"/>
      <c r="KIV43" s="155"/>
      <c r="KIW43" s="155"/>
      <c r="KIX43" s="155"/>
      <c r="KIY43" s="155"/>
      <c r="KIZ43" s="155"/>
      <c r="KJA43" s="155"/>
      <c r="KJB43" s="155"/>
      <c r="KJC43" s="155"/>
      <c r="KJD43" s="155"/>
      <c r="KJE43" s="155"/>
      <c r="KJF43" s="155"/>
      <c r="KJG43" s="155"/>
      <c r="KJH43" s="155"/>
      <c r="KJI43" s="155"/>
      <c r="KJJ43" s="155"/>
      <c r="KJK43" s="155"/>
      <c r="KJL43" s="155"/>
      <c r="KJM43" s="155"/>
      <c r="KJN43" s="155"/>
      <c r="KJO43" s="155"/>
      <c r="KJP43" s="155"/>
      <c r="KJQ43" s="155"/>
      <c r="KJR43" s="155"/>
      <c r="KJS43" s="155"/>
      <c r="KJT43" s="155"/>
      <c r="KJU43" s="155"/>
      <c r="KJV43" s="155"/>
      <c r="KJW43" s="155"/>
      <c r="KJX43" s="155"/>
      <c r="KJY43" s="155"/>
      <c r="KJZ43" s="155"/>
      <c r="KKA43" s="155"/>
      <c r="KKB43" s="155"/>
      <c r="KKC43" s="155"/>
      <c r="KKD43" s="155"/>
      <c r="KKE43" s="155"/>
      <c r="KKF43" s="155"/>
      <c r="KKG43" s="155"/>
      <c r="KKH43" s="155"/>
      <c r="KKI43" s="155"/>
      <c r="KKJ43" s="155"/>
      <c r="KKK43" s="155"/>
      <c r="KKL43" s="155"/>
      <c r="KKM43" s="155"/>
      <c r="KKN43" s="155"/>
      <c r="KKO43" s="155"/>
      <c r="KKP43" s="155"/>
      <c r="KKQ43" s="155"/>
      <c r="KKR43" s="155"/>
      <c r="KKS43" s="155"/>
      <c r="KKT43" s="155"/>
      <c r="KKU43" s="155"/>
      <c r="KKV43" s="155"/>
      <c r="KKW43" s="155"/>
      <c r="KKX43" s="155"/>
      <c r="KKY43" s="155"/>
      <c r="KKZ43" s="155"/>
      <c r="KLA43" s="155"/>
      <c r="KLB43" s="155"/>
      <c r="KLC43" s="155"/>
      <c r="KLD43" s="155"/>
      <c r="KLE43" s="155"/>
      <c r="KLF43" s="155"/>
      <c r="KLG43" s="155"/>
      <c r="KLH43" s="155"/>
      <c r="KLI43" s="155"/>
      <c r="KLJ43" s="155"/>
      <c r="KLK43" s="155"/>
      <c r="KLL43" s="155"/>
      <c r="KLM43" s="155"/>
      <c r="KLN43" s="155"/>
      <c r="KLO43" s="155"/>
      <c r="KLP43" s="155"/>
      <c r="KLQ43" s="155"/>
      <c r="KLR43" s="155"/>
      <c r="KLS43" s="155"/>
      <c r="KLT43" s="155"/>
      <c r="KLU43" s="155"/>
      <c r="KLV43" s="155"/>
      <c r="KLW43" s="155"/>
      <c r="KLX43" s="155"/>
      <c r="KLY43" s="155"/>
      <c r="KLZ43" s="155"/>
      <c r="KMA43" s="155"/>
      <c r="KMB43" s="155"/>
      <c r="KMC43" s="155"/>
      <c r="KMD43" s="155"/>
      <c r="KME43" s="155"/>
      <c r="KMF43" s="155"/>
      <c r="KMG43" s="155"/>
      <c r="KMH43" s="155"/>
      <c r="KMI43" s="155"/>
      <c r="KMJ43" s="155"/>
      <c r="KMK43" s="155"/>
      <c r="KML43" s="155"/>
      <c r="KMM43" s="155"/>
      <c r="KMN43" s="155"/>
      <c r="KMO43" s="155"/>
      <c r="KMP43" s="155"/>
      <c r="KMQ43" s="155"/>
      <c r="KMR43" s="155"/>
      <c r="KMS43" s="155"/>
      <c r="KMT43" s="155"/>
      <c r="KMU43" s="155"/>
      <c r="KMV43" s="155"/>
      <c r="KMW43" s="155"/>
      <c r="KMX43" s="155"/>
      <c r="KMY43" s="155"/>
      <c r="KMZ43" s="155"/>
      <c r="KNA43" s="155"/>
      <c r="KNB43" s="155"/>
      <c r="KNC43" s="155"/>
      <c r="KND43" s="155"/>
      <c r="KNE43" s="155"/>
      <c r="KNF43" s="155"/>
      <c r="KNG43" s="155"/>
      <c r="KNH43" s="155"/>
      <c r="KNI43" s="155"/>
      <c r="KNJ43" s="155"/>
      <c r="KNK43" s="155"/>
      <c r="KNL43" s="155"/>
      <c r="KNM43" s="155"/>
      <c r="KNN43" s="155"/>
      <c r="KNO43" s="155"/>
      <c r="KNP43" s="155"/>
      <c r="KNQ43" s="155"/>
      <c r="KNR43" s="155"/>
      <c r="KNS43" s="155"/>
      <c r="KNT43" s="155"/>
      <c r="KNU43" s="155"/>
      <c r="KNV43" s="155"/>
      <c r="KNW43" s="155"/>
      <c r="KNX43" s="155"/>
      <c r="KNY43" s="155"/>
      <c r="KNZ43" s="155"/>
      <c r="KOA43" s="155"/>
      <c r="KOB43" s="155"/>
      <c r="KOC43" s="155"/>
      <c r="KOD43" s="155"/>
      <c r="KOE43" s="155"/>
      <c r="KOF43" s="155"/>
      <c r="KOG43" s="155"/>
      <c r="KOH43" s="155"/>
      <c r="KOI43" s="155"/>
      <c r="KOJ43" s="155"/>
      <c r="KOK43" s="155"/>
      <c r="KOL43" s="155"/>
      <c r="KOM43" s="155"/>
      <c r="KON43" s="155"/>
      <c r="KOO43" s="155"/>
      <c r="KOP43" s="155"/>
      <c r="KOQ43" s="155"/>
      <c r="KOR43" s="155"/>
      <c r="KOS43" s="155"/>
      <c r="KOT43" s="155"/>
      <c r="KOU43" s="155"/>
      <c r="KOV43" s="155"/>
      <c r="KOW43" s="155"/>
      <c r="KOX43" s="155"/>
      <c r="KOY43" s="155"/>
      <c r="KOZ43" s="155"/>
      <c r="KPA43" s="155"/>
      <c r="KPB43" s="155"/>
      <c r="KPC43" s="155"/>
      <c r="KPD43" s="155"/>
      <c r="KPE43" s="155"/>
      <c r="KPF43" s="155"/>
      <c r="KPG43" s="155"/>
      <c r="KPH43" s="155"/>
      <c r="KPI43" s="155"/>
      <c r="KPJ43" s="155"/>
      <c r="KPK43" s="155"/>
      <c r="KPL43" s="155"/>
      <c r="KPM43" s="155"/>
      <c r="KPN43" s="155"/>
      <c r="KPO43" s="155"/>
      <c r="KPP43" s="155"/>
      <c r="KPQ43" s="155"/>
      <c r="KPR43" s="155"/>
      <c r="KPS43" s="155"/>
      <c r="KPT43" s="155"/>
      <c r="KPU43" s="155"/>
      <c r="KPV43" s="155"/>
      <c r="KPW43" s="155"/>
      <c r="KPX43" s="155"/>
      <c r="KPY43" s="155"/>
      <c r="KPZ43" s="155"/>
      <c r="KQA43" s="155"/>
      <c r="KQB43" s="155"/>
      <c r="KQC43" s="155"/>
      <c r="KQD43" s="155"/>
      <c r="KQE43" s="155"/>
      <c r="KQF43" s="155"/>
      <c r="KQG43" s="155"/>
      <c r="KQH43" s="155"/>
      <c r="KQI43" s="155"/>
      <c r="KQJ43" s="155"/>
      <c r="KQK43" s="155"/>
      <c r="KQL43" s="155"/>
      <c r="KQM43" s="155"/>
      <c r="KQN43" s="155"/>
      <c r="KQO43" s="155"/>
      <c r="KQP43" s="155"/>
      <c r="KQQ43" s="155"/>
      <c r="KQR43" s="155"/>
      <c r="KQS43" s="155"/>
      <c r="KQT43" s="155"/>
      <c r="KQU43" s="155"/>
      <c r="KQV43" s="155"/>
      <c r="KQW43" s="155"/>
      <c r="KQX43" s="155"/>
      <c r="KQY43" s="155"/>
      <c r="KQZ43" s="155"/>
      <c r="KRA43" s="155"/>
      <c r="KRB43" s="155"/>
      <c r="KRC43" s="155"/>
      <c r="KRD43" s="155"/>
      <c r="KRE43" s="155"/>
      <c r="KRF43" s="155"/>
      <c r="KRG43" s="155"/>
      <c r="KRH43" s="155"/>
      <c r="KRI43" s="155"/>
      <c r="KRJ43" s="155"/>
      <c r="KRK43" s="155"/>
      <c r="KRL43" s="155"/>
      <c r="KRM43" s="155"/>
      <c r="KRN43" s="155"/>
      <c r="KRO43" s="155"/>
      <c r="KRP43" s="155"/>
      <c r="KRQ43" s="155"/>
      <c r="KRR43" s="155"/>
      <c r="KRS43" s="155"/>
      <c r="KRT43" s="155"/>
      <c r="KRU43" s="155"/>
      <c r="KRV43" s="155"/>
      <c r="KRW43" s="155"/>
      <c r="KRX43" s="155"/>
      <c r="KRY43" s="155"/>
      <c r="KRZ43" s="155"/>
      <c r="KSA43" s="155"/>
      <c r="KSB43" s="155"/>
      <c r="KSC43" s="155"/>
      <c r="KSD43" s="155"/>
      <c r="KSE43" s="155"/>
      <c r="KSF43" s="155"/>
      <c r="KSG43" s="155"/>
      <c r="KSH43" s="155"/>
      <c r="KSI43" s="155"/>
      <c r="KSJ43" s="155"/>
      <c r="KSK43" s="155"/>
      <c r="KSL43" s="155"/>
      <c r="KSM43" s="155"/>
      <c r="KSN43" s="155"/>
      <c r="KSO43" s="155"/>
      <c r="KSP43" s="155"/>
      <c r="KSQ43" s="155"/>
      <c r="KSR43" s="155"/>
      <c r="KSS43" s="155"/>
      <c r="KST43" s="155"/>
      <c r="KSU43" s="155"/>
      <c r="KSV43" s="155"/>
      <c r="KSW43" s="155"/>
      <c r="KSX43" s="155"/>
      <c r="KSY43" s="155"/>
      <c r="KSZ43" s="155"/>
      <c r="KTA43" s="155"/>
      <c r="KTB43" s="155"/>
      <c r="KTC43" s="155"/>
      <c r="KTD43" s="155"/>
      <c r="KTE43" s="155"/>
      <c r="KTF43" s="155"/>
      <c r="KTG43" s="155"/>
      <c r="KTH43" s="155"/>
      <c r="KTI43" s="155"/>
      <c r="KTJ43" s="155"/>
      <c r="KTK43" s="155"/>
      <c r="KTL43" s="155"/>
      <c r="KTM43" s="155"/>
      <c r="KTN43" s="155"/>
      <c r="KTO43" s="155"/>
      <c r="KTP43" s="155"/>
      <c r="KTQ43" s="155"/>
      <c r="KTR43" s="155"/>
      <c r="KTS43" s="155"/>
      <c r="KTT43" s="155"/>
      <c r="KTU43" s="155"/>
      <c r="KTV43" s="155"/>
      <c r="KTW43" s="155"/>
      <c r="KTX43" s="155"/>
      <c r="KTY43" s="155"/>
      <c r="KTZ43" s="155"/>
      <c r="KUA43" s="155"/>
      <c r="KUB43" s="155"/>
      <c r="KUC43" s="155"/>
      <c r="KUD43" s="155"/>
      <c r="KUE43" s="155"/>
      <c r="KUF43" s="155"/>
      <c r="KUG43" s="155"/>
      <c r="KUH43" s="155"/>
      <c r="KUI43" s="155"/>
      <c r="KUJ43" s="155"/>
      <c r="KUK43" s="155"/>
      <c r="KUL43" s="155"/>
      <c r="KUM43" s="155"/>
      <c r="KUN43" s="155"/>
      <c r="KUO43" s="155"/>
      <c r="KUP43" s="155"/>
      <c r="KUQ43" s="155"/>
      <c r="KUR43" s="155"/>
      <c r="KUS43" s="155"/>
      <c r="KUT43" s="155"/>
      <c r="KUU43" s="155"/>
      <c r="KUV43" s="155"/>
      <c r="KUW43" s="155"/>
      <c r="KUX43" s="155"/>
      <c r="KUY43" s="155"/>
      <c r="KUZ43" s="155"/>
      <c r="KVA43" s="155"/>
      <c r="KVB43" s="155"/>
      <c r="KVC43" s="155"/>
      <c r="KVD43" s="155"/>
      <c r="KVE43" s="155"/>
      <c r="KVF43" s="155"/>
      <c r="KVG43" s="155"/>
      <c r="KVH43" s="155"/>
      <c r="KVI43" s="155"/>
      <c r="KVJ43" s="155"/>
      <c r="KVK43" s="155"/>
      <c r="KVL43" s="155"/>
      <c r="KVM43" s="155"/>
      <c r="KVN43" s="155"/>
      <c r="KVO43" s="155"/>
      <c r="KVP43" s="155"/>
      <c r="KVQ43" s="155"/>
      <c r="KVR43" s="155"/>
      <c r="KVS43" s="155"/>
      <c r="KVT43" s="155"/>
      <c r="KVU43" s="155"/>
      <c r="KVV43" s="155"/>
      <c r="KVW43" s="155"/>
      <c r="KVX43" s="155"/>
      <c r="KVY43" s="155"/>
      <c r="KVZ43" s="155"/>
      <c r="KWA43" s="155"/>
      <c r="KWB43" s="155"/>
      <c r="KWC43" s="155"/>
      <c r="KWD43" s="155"/>
      <c r="KWE43" s="155"/>
      <c r="KWF43" s="155"/>
      <c r="KWG43" s="155"/>
      <c r="KWH43" s="155"/>
      <c r="KWI43" s="155"/>
      <c r="KWJ43" s="155"/>
      <c r="KWK43" s="155"/>
      <c r="KWL43" s="155"/>
      <c r="KWM43" s="155"/>
      <c r="KWN43" s="155"/>
      <c r="KWO43" s="155"/>
      <c r="KWP43" s="155"/>
      <c r="KWQ43" s="155"/>
      <c r="KWR43" s="155"/>
      <c r="KWS43" s="155"/>
      <c r="KWT43" s="155"/>
      <c r="KWU43" s="155"/>
      <c r="KWV43" s="155"/>
      <c r="KWW43" s="155"/>
      <c r="KWX43" s="155"/>
      <c r="KWY43" s="155"/>
      <c r="KWZ43" s="155"/>
      <c r="KXA43" s="155"/>
      <c r="KXB43" s="155"/>
      <c r="KXC43" s="155"/>
      <c r="KXD43" s="155"/>
      <c r="KXE43" s="155"/>
      <c r="KXF43" s="155"/>
      <c r="KXG43" s="155"/>
      <c r="KXH43" s="155"/>
      <c r="KXI43" s="155"/>
      <c r="KXJ43" s="155"/>
      <c r="KXK43" s="155"/>
      <c r="KXL43" s="155"/>
      <c r="KXM43" s="155"/>
      <c r="KXN43" s="155"/>
      <c r="KXO43" s="155"/>
      <c r="KXP43" s="155"/>
      <c r="KXQ43" s="155"/>
      <c r="KXR43" s="155"/>
      <c r="KXS43" s="155"/>
      <c r="KXT43" s="155"/>
      <c r="KXU43" s="155"/>
      <c r="KXV43" s="155"/>
      <c r="KXW43" s="155"/>
      <c r="KXX43" s="155"/>
      <c r="KXY43" s="155"/>
      <c r="KXZ43" s="155"/>
      <c r="KYA43" s="155"/>
      <c r="KYB43" s="155"/>
      <c r="KYC43" s="155"/>
      <c r="KYD43" s="155"/>
      <c r="KYE43" s="155"/>
      <c r="KYF43" s="155"/>
      <c r="KYG43" s="155"/>
      <c r="KYH43" s="155"/>
      <c r="KYI43" s="155"/>
      <c r="KYJ43" s="155"/>
      <c r="KYK43" s="155"/>
      <c r="KYL43" s="155"/>
      <c r="KYM43" s="155"/>
      <c r="KYN43" s="155"/>
      <c r="KYO43" s="155"/>
      <c r="KYP43" s="155"/>
      <c r="KYQ43" s="155"/>
      <c r="KYR43" s="155"/>
      <c r="KYS43" s="155"/>
      <c r="KYT43" s="155"/>
      <c r="KYU43" s="155"/>
      <c r="KYV43" s="155"/>
      <c r="KYW43" s="155"/>
      <c r="KYX43" s="155"/>
      <c r="KYY43" s="155"/>
      <c r="KYZ43" s="155"/>
      <c r="KZA43" s="155"/>
      <c r="KZB43" s="155"/>
      <c r="KZC43" s="155"/>
      <c r="KZD43" s="155"/>
      <c r="KZE43" s="155"/>
      <c r="KZF43" s="155"/>
      <c r="KZG43" s="155"/>
      <c r="KZH43" s="155"/>
      <c r="KZI43" s="155"/>
      <c r="KZJ43" s="155"/>
      <c r="KZK43" s="155"/>
      <c r="KZL43" s="155"/>
      <c r="KZM43" s="155"/>
      <c r="KZN43" s="155"/>
      <c r="KZO43" s="155"/>
      <c r="KZP43" s="155"/>
      <c r="KZQ43" s="155"/>
      <c r="KZR43" s="155"/>
      <c r="KZS43" s="155"/>
      <c r="KZT43" s="155"/>
      <c r="KZU43" s="155"/>
      <c r="KZV43" s="155"/>
      <c r="KZW43" s="155"/>
      <c r="KZX43" s="155"/>
      <c r="KZY43" s="155"/>
      <c r="KZZ43" s="155"/>
      <c r="LAA43" s="155"/>
      <c r="LAB43" s="155"/>
      <c r="LAC43" s="155"/>
      <c r="LAD43" s="155"/>
      <c r="LAE43" s="155"/>
      <c r="LAF43" s="155"/>
      <c r="LAG43" s="155"/>
      <c r="LAH43" s="155"/>
      <c r="LAI43" s="155"/>
      <c r="LAJ43" s="155"/>
      <c r="LAK43" s="155"/>
      <c r="LAL43" s="155"/>
      <c r="LAM43" s="155"/>
      <c r="LAN43" s="155"/>
      <c r="LAO43" s="155"/>
      <c r="LAP43" s="155"/>
      <c r="LAQ43" s="155"/>
      <c r="LAR43" s="155"/>
      <c r="LAS43" s="155"/>
      <c r="LAT43" s="155"/>
      <c r="LAU43" s="155"/>
      <c r="LAV43" s="155"/>
      <c r="LAW43" s="155"/>
      <c r="LAX43" s="155"/>
      <c r="LAY43" s="155"/>
      <c r="LAZ43" s="155"/>
      <c r="LBA43" s="155"/>
      <c r="LBB43" s="155"/>
      <c r="LBC43" s="155"/>
      <c r="LBD43" s="155"/>
      <c r="LBE43" s="155"/>
      <c r="LBF43" s="155"/>
      <c r="LBG43" s="155"/>
      <c r="LBH43" s="155"/>
      <c r="LBI43" s="155"/>
      <c r="LBJ43" s="155"/>
      <c r="LBK43" s="155"/>
      <c r="LBL43" s="155"/>
      <c r="LBM43" s="155"/>
      <c r="LBN43" s="155"/>
      <c r="LBO43" s="155"/>
      <c r="LBP43" s="155"/>
      <c r="LBQ43" s="155"/>
      <c r="LBR43" s="155"/>
      <c r="LBS43" s="155"/>
      <c r="LBT43" s="155"/>
      <c r="LBU43" s="155"/>
      <c r="LBV43" s="155"/>
      <c r="LBW43" s="155"/>
      <c r="LBX43" s="155"/>
      <c r="LBY43" s="155"/>
      <c r="LBZ43" s="155"/>
      <c r="LCA43" s="155"/>
      <c r="LCB43" s="155"/>
      <c r="LCC43" s="155"/>
      <c r="LCD43" s="155"/>
      <c r="LCE43" s="155"/>
      <c r="LCF43" s="155"/>
      <c r="LCG43" s="155"/>
      <c r="LCH43" s="155"/>
      <c r="LCI43" s="155"/>
      <c r="LCJ43" s="155"/>
      <c r="LCK43" s="155"/>
      <c r="LCL43" s="155"/>
      <c r="LCM43" s="155"/>
      <c r="LCN43" s="155"/>
      <c r="LCO43" s="155"/>
      <c r="LCP43" s="155"/>
      <c r="LCQ43" s="155"/>
      <c r="LCR43" s="155"/>
      <c r="LCS43" s="155"/>
      <c r="LCT43" s="155"/>
      <c r="LCU43" s="155"/>
      <c r="LCV43" s="155"/>
      <c r="LCW43" s="155"/>
      <c r="LCX43" s="155"/>
      <c r="LCY43" s="155"/>
      <c r="LCZ43" s="155"/>
      <c r="LDA43" s="155"/>
      <c r="LDB43" s="155"/>
      <c r="LDC43" s="155"/>
      <c r="LDD43" s="155"/>
      <c r="LDE43" s="155"/>
      <c r="LDF43" s="155"/>
      <c r="LDG43" s="155"/>
      <c r="LDH43" s="155"/>
      <c r="LDI43" s="155"/>
      <c r="LDJ43" s="155"/>
      <c r="LDK43" s="155"/>
      <c r="LDL43" s="155"/>
      <c r="LDM43" s="155"/>
      <c r="LDN43" s="155"/>
      <c r="LDO43" s="155"/>
      <c r="LDP43" s="155"/>
      <c r="LDQ43" s="155"/>
      <c r="LDR43" s="155"/>
      <c r="LDS43" s="155"/>
      <c r="LDT43" s="155"/>
      <c r="LDU43" s="155"/>
      <c r="LDV43" s="155"/>
      <c r="LDW43" s="155"/>
      <c r="LDX43" s="155"/>
      <c r="LDY43" s="155"/>
      <c r="LDZ43" s="155"/>
      <c r="LEA43" s="155"/>
      <c r="LEB43" s="155"/>
      <c r="LEC43" s="155"/>
      <c r="LED43" s="155"/>
      <c r="LEE43" s="155"/>
      <c r="LEF43" s="155"/>
      <c r="LEG43" s="155"/>
      <c r="LEH43" s="155"/>
      <c r="LEI43" s="155"/>
      <c r="LEJ43" s="155"/>
      <c r="LEK43" s="155"/>
      <c r="LEL43" s="155"/>
      <c r="LEM43" s="155"/>
      <c r="LEN43" s="155"/>
      <c r="LEO43" s="155"/>
      <c r="LEP43" s="155"/>
      <c r="LEQ43" s="155"/>
      <c r="LER43" s="155"/>
      <c r="LES43" s="155"/>
      <c r="LET43" s="155"/>
      <c r="LEU43" s="155"/>
      <c r="LEV43" s="155"/>
      <c r="LEW43" s="155"/>
      <c r="LEX43" s="155"/>
      <c r="LEY43" s="155"/>
      <c r="LEZ43" s="155"/>
      <c r="LFA43" s="155"/>
      <c r="LFB43" s="155"/>
      <c r="LFC43" s="155"/>
      <c r="LFD43" s="155"/>
      <c r="LFE43" s="155"/>
      <c r="LFF43" s="155"/>
      <c r="LFG43" s="155"/>
      <c r="LFH43" s="155"/>
      <c r="LFI43" s="155"/>
      <c r="LFJ43" s="155"/>
      <c r="LFK43" s="155"/>
      <c r="LFL43" s="155"/>
      <c r="LFM43" s="155"/>
      <c r="LFN43" s="155"/>
      <c r="LFO43" s="155"/>
      <c r="LFP43" s="155"/>
      <c r="LFQ43" s="155"/>
      <c r="LFR43" s="155"/>
      <c r="LFS43" s="155"/>
      <c r="LFT43" s="155"/>
      <c r="LFU43" s="155"/>
      <c r="LFV43" s="155"/>
      <c r="LFW43" s="155"/>
      <c r="LFX43" s="155"/>
      <c r="LFY43" s="155"/>
      <c r="LFZ43" s="155"/>
      <c r="LGA43" s="155"/>
      <c r="LGB43" s="155"/>
      <c r="LGC43" s="155"/>
      <c r="LGD43" s="155"/>
      <c r="LGE43" s="155"/>
      <c r="LGF43" s="155"/>
      <c r="LGG43" s="155"/>
      <c r="LGH43" s="155"/>
      <c r="LGI43" s="155"/>
      <c r="LGJ43" s="155"/>
      <c r="LGK43" s="155"/>
      <c r="LGL43" s="155"/>
      <c r="LGM43" s="155"/>
      <c r="LGN43" s="155"/>
      <c r="LGO43" s="155"/>
      <c r="LGP43" s="155"/>
      <c r="LGQ43" s="155"/>
      <c r="LGR43" s="155"/>
      <c r="LGS43" s="155"/>
      <c r="LGT43" s="155"/>
      <c r="LGU43" s="155"/>
      <c r="LGV43" s="155"/>
      <c r="LGW43" s="155"/>
      <c r="LGX43" s="155"/>
      <c r="LGY43" s="155"/>
      <c r="LGZ43" s="155"/>
      <c r="LHA43" s="155"/>
      <c r="LHB43" s="155"/>
      <c r="LHC43" s="155"/>
      <c r="LHD43" s="155"/>
      <c r="LHE43" s="155"/>
      <c r="LHF43" s="155"/>
      <c r="LHG43" s="155"/>
      <c r="LHH43" s="155"/>
      <c r="LHI43" s="155"/>
      <c r="LHJ43" s="155"/>
      <c r="LHK43" s="155"/>
      <c r="LHL43" s="155"/>
      <c r="LHM43" s="155"/>
      <c r="LHN43" s="155"/>
      <c r="LHO43" s="155"/>
      <c r="LHP43" s="155"/>
      <c r="LHQ43" s="155"/>
      <c r="LHR43" s="155"/>
      <c r="LHS43" s="155"/>
      <c r="LHT43" s="155"/>
      <c r="LHU43" s="155"/>
      <c r="LHV43" s="155"/>
      <c r="LHW43" s="155"/>
      <c r="LHX43" s="155"/>
      <c r="LHY43" s="155"/>
      <c r="LHZ43" s="155"/>
      <c r="LIA43" s="155"/>
      <c r="LIB43" s="155"/>
      <c r="LIC43" s="155"/>
      <c r="LID43" s="155"/>
      <c r="LIE43" s="155"/>
      <c r="LIF43" s="155"/>
      <c r="LIG43" s="155"/>
      <c r="LIH43" s="155"/>
      <c r="LII43" s="155"/>
      <c r="LIJ43" s="155"/>
      <c r="LIK43" s="155"/>
      <c r="LIL43" s="155"/>
      <c r="LIM43" s="155"/>
      <c r="LIN43" s="155"/>
      <c r="LIO43" s="155"/>
      <c r="LIP43" s="155"/>
      <c r="LIQ43" s="155"/>
      <c r="LIR43" s="155"/>
      <c r="LIS43" s="155"/>
      <c r="LIT43" s="155"/>
      <c r="LIU43" s="155"/>
      <c r="LIV43" s="155"/>
      <c r="LIW43" s="155"/>
      <c r="LIX43" s="155"/>
      <c r="LIY43" s="155"/>
      <c r="LIZ43" s="155"/>
      <c r="LJA43" s="155"/>
      <c r="LJB43" s="155"/>
      <c r="LJC43" s="155"/>
      <c r="LJD43" s="155"/>
      <c r="LJE43" s="155"/>
      <c r="LJF43" s="155"/>
      <c r="LJG43" s="155"/>
      <c r="LJH43" s="155"/>
      <c r="LJI43" s="155"/>
      <c r="LJJ43" s="155"/>
      <c r="LJK43" s="155"/>
      <c r="LJL43" s="155"/>
      <c r="LJM43" s="155"/>
      <c r="LJN43" s="155"/>
      <c r="LJO43" s="155"/>
      <c r="LJP43" s="155"/>
      <c r="LJQ43" s="155"/>
      <c r="LJR43" s="155"/>
      <c r="LJS43" s="155"/>
      <c r="LJT43" s="155"/>
      <c r="LJU43" s="155"/>
      <c r="LJV43" s="155"/>
      <c r="LJW43" s="155"/>
      <c r="LJX43" s="155"/>
      <c r="LJY43" s="155"/>
      <c r="LJZ43" s="155"/>
      <c r="LKA43" s="155"/>
      <c r="LKB43" s="155"/>
      <c r="LKC43" s="155"/>
      <c r="LKD43" s="155"/>
      <c r="LKE43" s="155"/>
      <c r="LKF43" s="155"/>
      <c r="LKG43" s="155"/>
      <c r="LKH43" s="155"/>
      <c r="LKI43" s="155"/>
      <c r="LKJ43" s="155"/>
      <c r="LKK43" s="155"/>
      <c r="LKL43" s="155"/>
      <c r="LKM43" s="155"/>
      <c r="LKN43" s="155"/>
      <c r="LKO43" s="155"/>
      <c r="LKP43" s="155"/>
      <c r="LKQ43" s="155"/>
      <c r="LKR43" s="155"/>
      <c r="LKS43" s="155"/>
      <c r="LKT43" s="155"/>
      <c r="LKU43" s="155"/>
      <c r="LKV43" s="155"/>
      <c r="LKW43" s="155"/>
      <c r="LKX43" s="155"/>
      <c r="LKY43" s="155"/>
      <c r="LKZ43" s="155"/>
      <c r="LLA43" s="155"/>
      <c r="LLB43" s="155"/>
      <c r="LLC43" s="155"/>
      <c r="LLD43" s="155"/>
      <c r="LLE43" s="155"/>
      <c r="LLF43" s="155"/>
      <c r="LLG43" s="155"/>
      <c r="LLH43" s="155"/>
      <c r="LLI43" s="155"/>
      <c r="LLJ43" s="155"/>
      <c r="LLK43" s="155"/>
      <c r="LLL43" s="155"/>
      <c r="LLM43" s="155"/>
      <c r="LLN43" s="155"/>
      <c r="LLO43" s="155"/>
      <c r="LLP43" s="155"/>
      <c r="LLQ43" s="155"/>
      <c r="LLR43" s="155"/>
      <c r="LLS43" s="155"/>
      <c r="LLT43" s="155"/>
      <c r="LLU43" s="155"/>
      <c r="LLV43" s="155"/>
      <c r="LLW43" s="155"/>
      <c r="LLX43" s="155"/>
      <c r="LLY43" s="155"/>
      <c r="LLZ43" s="155"/>
      <c r="LMA43" s="155"/>
      <c r="LMB43" s="155"/>
      <c r="LMC43" s="155"/>
      <c r="LMD43" s="155"/>
      <c r="LME43" s="155"/>
      <c r="LMF43" s="155"/>
      <c r="LMG43" s="155"/>
      <c r="LMH43" s="155"/>
      <c r="LMI43" s="155"/>
      <c r="LMJ43" s="155"/>
      <c r="LMK43" s="155"/>
      <c r="LML43" s="155"/>
      <c r="LMM43" s="155"/>
      <c r="LMN43" s="155"/>
      <c r="LMO43" s="155"/>
      <c r="LMP43" s="155"/>
      <c r="LMQ43" s="155"/>
      <c r="LMR43" s="155"/>
      <c r="LMS43" s="155"/>
      <c r="LMT43" s="155"/>
      <c r="LMU43" s="155"/>
      <c r="LMV43" s="155"/>
      <c r="LMW43" s="155"/>
      <c r="LMX43" s="155"/>
      <c r="LMY43" s="155"/>
      <c r="LMZ43" s="155"/>
      <c r="LNA43" s="155"/>
      <c r="LNB43" s="155"/>
      <c r="LNC43" s="155"/>
      <c r="LND43" s="155"/>
      <c r="LNE43" s="155"/>
      <c r="LNF43" s="155"/>
      <c r="LNG43" s="155"/>
      <c r="LNH43" s="155"/>
      <c r="LNI43" s="155"/>
      <c r="LNJ43" s="155"/>
      <c r="LNK43" s="155"/>
      <c r="LNL43" s="155"/>
      <c r="LNM43" s="155"/>
      <c r="LNN43" s="155"/>
      <c r="LNO43" s="155"/>
      <c r="LNP43" s="155"/>
      <c r="LNQ43" s="155"/>
      <c r="LNR43" s="155"/>
      <c r="LNS43" s="155"/>
      <c r="LNT43" s="155"/>
      <c r="LNU43" s="155"/>
      <c r="LNV43" s="155"/>
      <c r="LNW43" s="155"/>
      <c r="LNX43" s="155"/>
      <c r="LNY43" s="155"/>
      <c r="LNZ43" s="155"/>
      <c r="LOA43" s="155"/>
      <c r="LOB43" s="155"/>
      <c r="LOC43" s="155"/>
      <c r="LOD43" s="155"/>
      <c r="LOE43" s="155"/>
      <c r="LOF43" s="155"/>
      <c r="LOG43" s="155"/>
      <c r="LOH43" s="155"/>
      <c r="LOI43" s="155"/>
      <c r="LOJ43" s="155"/>
      <c r="LOK43" s="155"/>
      <c r="LOL43" s="155"/>
      <c r="LOM43" s="155"/>
      <c r="LON43" s="155"/>
      <c r="LOO43" s="155"/>
      <c r="LOP43" s="155"/>
      <c r="LOQ43" s="155"/>
      <c r="LOR43" s="155"/>
      <c r="LOS43" s="155"/>
      <c r="LOT43" s="155"/>
      <c r="LOU43" s="155"/>
      <c r="LOV43" s="155"/>
      <c r="LOW43" s="155"/>
      <c r="LOX43" s="155"/>
      <c r="LOY43" s="155"/>
      <c r="LOZ43" s="155"/>
      <c r="LPA43" s="155"/>
      <c r="LPB43" s="155"/>
      <c r="LPC43" s="155"/>
      <c r="LPD43" s="155"/>
      <c r="LPE43" s="155"/>
      <c r="LPF43" s="155"/>
      <c r="LPG43" s="155"/>
      <c r="LPH43" s="155"/>
      <c r="LPI43" s="155"/>
      <c r="LPJ43" s="155"/>
      <c r="LPK43" s="155"/>
      <c r="LPL43" s="155"/>
      <c r="LPM43" s="155"/>
      <c r="LPN43" s="155"/>
      <c r="LPO43" s="155"/>
      <c r="LPP43" s="155"/>
      <c r="LPQ43" s="155"/>
      <c r="LPR43" s="155"/>
      <c r="LPS43" s="155"/>
      <c r="LPT43" s="155"/>
      <c r="LPU43" s="155"/>
      <c r="LPV43" s="155"/>
      <c r="LPW43" s="155"/>
      <c r="LPX43" s="155"/>
      <c r="LPY43" s="155"/>
      <c r="LPZ43" s="155"/>
      <c r="LQA43" s="155"/>
      <c r="LQB43" s="155"/>
      <c r="LQC43" s="155"/>
      <c r="LQD43" s="155"/>
      <c r="LQE43" s="155"/>
      <c r="LQF43" s="155"/>
      <c r="LQG43" s="155"/>
      <c r="LQH43" s="155"/>
      <c r="LQI43" s="155"/>
      <c r="LQJ43" s="155"/>
      <c r="LQK43" s="155"/>
      <c r="LQL43" s="155"/>
      <c r="LQM43" s="155"/>
      <c r="LQN43" s="155"/>
      <c r="LQO43" s="155"/>
      <c r="LQP43" s="155"/>
      <c r="LQQ43" s="155"/>
      <c r="LQR43" s="155"/>
      <c r="LQS43" s="155"/>
      <c r="LQT43" s="155"/>
      <c r="LQU43" s="155"/>
      <c r="LQV43" s="155"/>
      <c r="LQW43" s="155"/>
      <c r="LQX43" s="155"/>
      <c r="LQY43" s="155"/>
      <c r="LQZ43" s="155"/>
      <c r="LRA43" s="155"/>
      <c r="LRB43" s="155"/>
      <c r="LRC43" s="155"/>
      <c r="LRD43" s="155"/>
      <c r="LRE43" s="155"/>
      <c r="LRF43" s="155"/>
      <c r="LRG43" s="155"/>
      <c r="LRH43" s="155"/>
      <c r="LRI43" s="155"/>
      <c r="LRJ43" s="155"/>
      <c r="LRK43" s="155"/>
      <c r="LRL43" s="155"/>
      <c r="LRM43" s="155"/>
      <c r="LRN43" s="155"/>
      <c r="LRO43" s="155"/>
      <c r="LRP43" s="155"/>
      <c r="LRQ43" s="155"/>
      <c r="LRR43" s="155"/>
      <c r="LRS43" s="155"/>
      <c r="LRT43" s="155"/>
      <c r="LRU43" s="155"/>
      <c r="LRV43" s="155"/>
      <c r="LRW43" s="155"/>
      <c r="LRX43" s="155"/>
      <c r="LRY43" s="155"/>
      <c r="LRZ43" s="155"/>
      <c r="LSA43" s="155"/>
      <c r="LSB43" s="155"/>
      <c r="LSC43" s="155"/>
      <c r="LSD43" s="155"/>
      <c r="LSE43" s="155"/>
      <c r="LSF43" s="155"/>
      <c r="LSG43" s="155"/>
      <c r="LSH43" s="155"/>
      <c r="LSI43" s="155"/>
      <c r="LSJ43" s="155"/>
      <c r="LSK43" s="155"/>
      <c r="LSL43" s="155"/>
      <c r="LSM43" s="155"/>
      <c r="LSN43" s="155"/>
      <c r="LSO43" s="155"/>
      <c r="LSP43" s="155"/>
      <c r="LSQ43" s="155"/>
      <c r="LSR43" s="155"/>
      <c r="LSS43" s="155"/>
      <c r="LST43" s="155"/>
      <c r="LSU43" s="155"/>
      <c r="LSV43" s="155"/>
      <c r="LSW43" s="155"/>
      <c r="LSX43" s="155"/>
      <c r="LSY43" s="155"/>
      <c r="LSZ43" s="155"/>
      <c r="LTA43" s="155"/>
      <c r="LTB43" s="155"/>
      <c r="LTC43" s="155"/>
      <c r="LTD43" s="155"/>
      <c r="LTE43" s="155"/>
      <c r="LTF43" s="155"/>
      <c r="LTG43" s="155"/>
      <c r="LTH43" s="155"/>
      <c r="LTI43" s="155"/>
      <c r="LTJ43" s="155"/>
      <c r="LTK43" s="155"/>
      <c r="LTL43" s="155"/>
      <c r="LTM43" s="155"/>
      <c r="LTN43" s="155"/>
      <c r="LTO43" s="155"/>
      <c r="LTP43" s="155"/>
      <c r="LTQ43" s="155"/>
      <c r="LTR43" s="155"/>
      <c r="LTS43" s="155"/>
      <c r="LTT43" s="155"/>
      <c r="LTU43" s="155"/>
      <c r="LTV43" s="155"/>
      <c r="LTW43" s="155"/>
      <c r="LTX43" s="155"/>
      <c r="LTY43" s="155"/>
      <c r="LTZ43" s="155"/>
      <c r="LUA43" s="155"/>
      <c r="LUB43" s="155"/>
      <c r="LUC43" s="155"/>
      <c r="LUD43" s="155"/>
      <c r="LUE43" s="155"/>
      <c r="LUF43" s="155"/>
      <c r="LUG43" s="155"/>
      <c r="LUH43" s="155"/>
      <c r="LUI43" s="155"/>
      <c r="LUJ43" s="155"/>
      <c r="LUK43" s="155"/>
      <c r="LUL43" s="155"/>
      <c r="LUM43" s="155"/>
      <c r="LUN43" s="155"/>
      <c r="LUO43" s="155"/>
      <c r="LUP43" s="155"/>
      <c r="LUQ43" s="155"/>
      <c r="LUR43" s="155"/>
      <c r="LUS43" s="155"/>
      <c r="LUT43" s="155"/>
      <c r="LUU43" s="155"/>
      <c r="LUV43" s="155"/>
      <c r="LUW43" s="155"/>
      <c r="LUX43" s="155"/>
      <c r="LUY43" s="155"/>
      <c r="LUZ43" s="155"/>
      <c r="LVA43" s="155"/>
      <c r="LVB43" s="155"/>
      <c r="LVC43" s="155"/>
      <c r="LVD43" s="155"/>
      <c r="LVE43" s="155"/>
      <c r="LVF43" s="155"/>
      <c r="LVG43" s="155"/>
      <c r="LVH43" s="155"/>
      <c r="LVI43" s="155"/>
      <c r="LVJ43" s="155"/>
      <c r="LVK43" s="155"/>
      <c r="LVL43" s="155"/>
      <c r="LVM43" s="155"/>
      <c r="LVN43" s="155"/>
      <c r="LVO43" s="155"/>
      <c r="LVP43" s="155"/>
      <c r="LVQ43" s="155"/>
      <c r="LVR43" s="155"/>
      <c r="LVS43" s="155"/>
      <c r="LVT43" s="155"/>
      <c r="LVU43" s="155"/>
      <c r="LVV43" s="155"/>
      <c r="LVW43" s="155"/>
      <c r="LVX43" s="155"/>
      <c r="LVY43" s="155"/>
      <c r="LVZ43" s="155"/>
      <c r="LWA43" s="155"/>
      <c r="LWB43" s="155"/>
      <c r="LWC43" s="155"/>
      <c r="LWD43" s="155"/>
      <c r="LWE43" s="155"/>
      <c r="LWF43" s="155"/>
      <c r="LWG43" s="155"/>
      <c r="LWH43" s="155"/>
      <c r="LWI43" s="155"/>
      <c r="LWJ43" s="155"/>
      <c r="LWK43" s="155"/>
      <c r="LWL43" s="155"/>
      <c r="LWM43" s="155"/>
      <c r="LWN43" s="155"/>
      <c r="LWO43" s="155"/>
      <c r="LWP43" s="155"/>
      <c r="LWQ43" s="155"/>
      <c r="LWR43" s="155"/>
      <c r="LWS43" s="155"/>
      <c r="LWT43" s="155"/>
      <c r="LWU43" s="155"/>
      <c r="LWV43" s="155"/>
      <c r="LWW43" s="155"/>
      <c r="LWX43" s="155"/>
      <c r="LWY43" s="155"/>
      <c r="LWZ43" s="155"/>
      <c r="LXA43" s="155"/>
      <c r="LXB43" s="155"/>
      <c r="LXC43" s="155"/>
      <c r="LXD43" s="155"/>
      <c r="LXE43" s="155"/>
      <c r="LXF43" s="155"/>
      <c r="LXG43" s="155"/>
      <c r="LXH43" s="155"/>
      <c r="LXI43" s="155"/>
      <c r="LXJ43" s="155"/>
      <c r="LXK43" s="155"/>
      <c r="LXL43" s="155"/>
      <c r="LXM43" s="155"/>
      <c r="LXN43" s="155"/>
      <c r="LXO43" s="155"/>
      <c r="LXP43" s="155"/>
      <c r="LXQ43" s="155"/>
      <c r="LXR43" s="155"/>
      <c r="LXS43" s="155"/>
      <c r="LXT43" s="155"/>
      <c r="LXU43" s="155"/>
      <c r="LXV43" s="155"/>
      <c r="LXW43" s="155"/>
      <c r="LXX43" s="155"/>
      <c r="LXY43" s="155"/>
      <c r="LXZ43" s="155"/>
      <c r="LYA43" s="155"/>
      <c r="LYB43" s="155"/>
      <c r="LYC43" s="155"/>
      <c r="LYD43" s="155"/>
      <c r="LYE43" s="155"/>
      <c r="LYF43" s="155"/>
      <c r="LYG43" s="155"/>
      <c r="LYH43" s="155"/>
      <c r="LYI43" s="155"/>
      <c r="LYJ43" s="155"/>
      <c r="LYK43" s="155"/>
      <c r="LYL43" s="155"/>
      <c r="LYM43" s="155"/>
      <c r="LYN43" s="155"/>
      <c r="LYO43" s="155"/>
      <c r="LYP43" s="155"/>
      <c r="LYQ43" s="155"/>
      <c r="LYR43" s="155"/>
      <c r="LYS43" s="155"/>
      <c r="LYT43" s="155"/>
      <c r="LYU43" s="155"/>
      <c r="LYV43" s="155"/>
      <c r="LYW43" s="155"/>
      <c r="LYX43" s="155"/>
      <c r="LYY43" s="155"/>
      <c r="LYZ43" s="155"/>
      <c r="LZA43" s="155"/>
      <c r="LZB43" s="155"/>
      <c r="LZC43" s="155"/>
      <c r="LZD43" s="155"/>
      <c r="LZE43" s="155"/>
      <c r="LZF43" s="155"/>
      <c r="LZG43" s="155"/>
      <c r="LZH43" s="155"/>
      <c r="LZI43" s="155"/>
      <c r="LZJ43" s="155"/>
      <c r="LZK43" s="155"/>
      <c r="LZL43" s="155"/>
      <c r="LZM43" s="155"/>
      <c r="LZN43" s="155"/>
      <c r="LZO43" s="155"/>
      <c r="LZP43" s="155"/>
      <c r="LZQ43" s="155"/>
      <c r="LZR43" s="155"/>
      <c r="LZS43" s="155"/>
      <c r="LZT43" s="155"/>
      <c r="LZU43" s="155"/>
      <c r="LZV43" s="155"/>
      <c r="LZW43" s="155"/>
      <c r="LZX43" s="155"/>
      <c r="LZY43" s="155"/>
      <c r="LZZ43" s="155"/>
      <c r="MAA43" s="155"/>
      <c r="MAB43" s="155"/>
      <c r="MAC43" s="155"/>
      <c r="MAD43" s="155"/>
      <c r="MAE43" s="155"/>
      <c r="MAF43" s="155"/>
      <c r="MAG43" s="155"/>
      <c r="MAH43" s="155"/>
      <c r="MAI43" s="155"/>
      <c r="MAJ43" s="155"/>
      <c r="MAK43" s="155"/>
      <c r="MAL43" s="155"/>
      <c r="MAM43" s="155"/>
      <c r="MAN43" s="155"/>
      <c r="MAO43" s="155"/>
      <c r="MAP43" s="155"/>
      <c r="MAQ43" s="155"/>
      <c r="MAR43" s="155"/>
      <c r="MAS43" s="155"/>
      <c r="MAT43" s="155"/>
      <c r="MAU43" s="155"/>
      <c r="MAV43" s="155"/>
      <c r="MAW43" s="155"/>
      <c r="MAX43" s="155"/>
      <c r="MAY43" s="155"/>
      <c r="MAZ43" s="155"/>
      <c r="MBA43" s="155"/>
      <c r="MBB43" s="155"/>
      <c r="MBC43" s="155"/>
      <c r="MBD43" s="155"/>
      <c r="MBE43" s="155"/>
      <c r="MBF43" s="155"/>
      <c r="MBG43" s="155"/>
      <c r="MBH43" s="155"/>
      <c r="MBI43" s="155"/>
      <c r="MBJ43" s="155"/>
      <c r="MBK43" s="155"/>
      <c r="MBL43" s="155"/>
      <c r="MBM43" s="155"/>
      <c r="MBN43" s="155"/>
      <c r="MBO43" s="155"/>
      <c r="MBP43" s="155"/>
      <c r="MBQ43" s="155"/>
      <c r="MBR43" s="155"/>
      <c r="MBS43" s="155"/>
      <c r="MBT43" s="155"/>
      <c r="MBU43" s="155"/>
      <c r="MBV43" s="155"/>
      <c r="MBW43" s="155"/>
      <c r="MBX43" s="155"/>
      <c r="MBY43" s="155"/>
      <c r="MBZ43" s="155"/>
      <c r="MCA43" s="155"/>
      <c r="MCB43" s="155"/>
      <c r="MCC43" s="155"/>
      <c r="MCD43" s="155"/>
      <c r="MCE43" s="155"/>
      <c r="MCF43" s="155"/>
      <c r="MCG43" s="155"/>
      <c r="MCH43" s="155"/>
      <c r="MCI43" s="155"/>
      <c r="MCJ43" s="155"/>
      <c r="MCK43" s="155"/>
      <c r="MCL43" s="155"/>
      <c r="MCM43" s="155"/>
      <c r="MCN43" s="155"/>
      <c r="MCO43" s="155"/>
      <c r="MCP43" s="155"/>
      <c r="MCQ43" s="155"/>
      <c r="MCR43" s="155"/>
      <c r="MCS43" s="155"/>
      <c r="MCT43" s="155"/>
      <c r="MCU43" s="155"/>
      <c r="MCV43" s="155"/>
      <c r="MCW43" s="155"/>
      <c r="MCX43" s="155"/>
      <c r="MCY43" s="155"/>
      <c r="MCZ43" s="155"/>
      <c r="MDA43" s="155"/>
      <c r="MDB43" s="155"/>
      <c r="MDC43" s="155"/>
      <c r="MDD43" s="155"/>
      <c r="MDE43" s="155"/>
      <c r="MDF43" s="155"/>
      <c r="MDG43" s="155"/>
      <c r="MDH43" s="155"/>
      <c r="MDI43" s="155"/>
      <c r="MDJ43" s="155"/>
      <c r="MDK43" s="155"/>
      <c r="MDL43" s="155"/>
      <c r="MDM43" s="155"/>
      <c r="MDN43" s="155"/>
      <c r="MDO43" s="155"/>
      <c r="MDP43" s="155"/>
      <c r="MDQ43" s="155"/>
      <c r="MDR43" s="155"/>
      <c r="MDS43" s="155"/>
      <c r="MDT43" s="155"/>
      <c r="MDU43" s="155"/>
      <c r="MDV43" s="155"/>
      <c r="MDW43" s="155"/>
      <c r="MDX43" s="155"/>
      <c r="MDY43" s="155"/>
      <c r="MDZ43" s="155"/>
      <c r="MEA43" s="155"/>
      <c r="MEB43" s="155"/>
      <c r="MEC43" s="155"/>
      <c r="MED43" s="155"/>
      <c r="MEE43" s="155"/>
      <c r="MEF43" s="155"/>
      <c r="MEG43" s="155"/>
      <c r="MEH43" s="155"/>
      <c r="MEI43" s="155"/>
      <c r="MEJ43" s="155"/>
      <c r="MEK43" s="155"/>
      <c r="MEL43" s="155"/>
      <c r="MEM43" s="155"/>
      <c r="MEN43" s="155"/>
      <c r="MEO43" s="155"/>
      <c r="MEP43" s="155"/>
      <c r="MEQ43" s="155"/>
      <c r="MER43" s="155"/>
      <c r="MES43" s="155"/>
      <c r="MET43" s="155"/>
      <c r="MEU43" s="155"/>
      <c r="MEV43" s="155"/>
      <c r="MEW43" s="155"/>
      <c r="MEX43" s="155"/>
      <c r="MEY43" s="155"/>
      <c r="MEZ43" s="155"/>
      <c r="MFA43" s="155"/>
      <c r="MFB43" s="155"/>
      <c r="MFC43" s="155"/>
      <c r="MFD43" s="155"/>
      <c r="MFE43" s="155"/>
      <c r="MFF43" s="155"/>
      <c r="MFG43" s="155"/>
      <c r="MFH43" s="155"/>
      <c r="MFI43" s="155"/>
      <c r="MFJ43" s="155"/>
      <c r="MFK43" s="155"/>
      <c r="MFL43" s="155"/>
      <c r="MFM43" s="155"/>
      <c r="MFN43" s="155"/>
      <c r="MFO43" s="155"/>
      <c r="MFP43" s="155"/>
      <c r="MFQ43" s="155"/>
      <c r="MFR43" s="155"/>
      <c r="MFS43" s="155"/>
      <c r="MFT43" s="155"/>
      <c r="MFU43" s="155"/>
      <c r="MFV43" s="155"/>
      <c r="MFW43" s="155"/>
      <c r="MFX43" s="155"/>
      <c r="MFY43" s="155"/>
      <c r="MFZ43" s="155"/>
      <c r="MGA43" s="155"/>
      <c r="MGB43" s="155"/>
      <c r="MGC43" s="155"/>
      <c r="MGD43" s="155"/>
      <c r="MGE43" s="155"/>
      <c r="MGF43" s="155"/>
      <c r="MGG43" s="155"/>
      <c r="MGH43" s="155"/>
      <c r="MGI43" s="155"/>
      <c r="MGJ43" s="155"/>
      <c r="MGK43" s="155"/>
      <c r="MGL43" s="155"/>
      <c r="MGM43" s="155"/>
      <c r="MGN43" s="155"/>
      <c r="MGO43" s="155"/>
      <c r="MGP43" s="155"/>
      <c r="MGQ43" s="155"/>
      <c r="MGR43" s="155"/>
      <c r="MGS43" s="155"/>
      <c r="MGT43" s="155"/>
      <c r="MGU43" s="155"/>
      <c r="MGV43" s="155"/>
      <c r="MGW43" s="155"/>
      <c r="MGX43" s="155"/>
      <c r="MGY43" s="155"/>
      <c r="MGZ43" s="155"/>
      <c r="MHA43" s="155"/>
      <c r="MHB43" s="155"/>
      <c r="MHC43" s="155"/>
      <c r="MHD43" s="155"/>
      <c r="MHE43" s="155"/>
      <c r="MHF43" s="155"/>
      <c r="MHG43" s="155"/>
      <c r="MHH43" s="155"/>
      <c r="MHI43" s="155"/>
      <c r="MHJ43" s="155"/>
      <c r="MHK43" s="155"/>
      <c r="MHL43" s="155"/>
      <c r="MHM43" s="155"/>
      <c r="MHN43" s="155"/>
      <c r="MHO43" s="155"/>
      <c r="MHP43" s="155"/>
      <c r="MHQ43" s="155"/>
      <c r="MHR43" s="155"/>
      <c r="MHS43" s="155"/>
      <c r="MHT43" s="155"/>
      <c r="MHU43" s="155"/>
      <c r="MHV43" s="155"/>
      <c r="MHW43" s="155"/>
      <c r="MHX43" s="155"/>
      <c r="MHY43" s="155"/>
      <c r="MHZ43" s="155"/>
      <c r="MIA43" s="155"/>
      <c r="MIB43" s="155"/>
      <c r="MIC43" s="155"/>
      <c r="MID43" s="155"/>
      <c r="MIE43" s="155"/>
      <c r="MIF43" s="155"/>
      <c r="MIG43" s="155"/>
      <c r="MIH43" s="155"/>
      <c r="MII43" s="155"/>
      <c r="MIJ43" s="155"/>
      <c r="MIK43" s="155"/>
      <c r="MIL43" s="155"/>
      <c r="MIM43" s="155"/>
      <c r="MIN43" s="155"/>
      <c r="MIO43" s="155"/>
      <c r="MIP43" s="155"/>
      <c r="MIQ43" s="155"/>
      <c r="MIR43" s="155"/>
      <c r="MIS43" s="155"/>
      <c r="MIT43" s="155"/>
      <c r="MIU43" s="155"/>
      <c r="MIV43" s="155"/>
      <c r="MIW43" s="155"/>
      <c r="MIX43" s="155"/>
      <c r="MIY43" s="155"/>
      <c r="MIZ43" s="155"/>
      <c r="MJA43" s="155"/>
      <c r="MJB43" s="155"/>
      <c r="MJC43" s="155"/>
      <c r="MJD43" s="155"/>
      <c r="MJE43" s="155"/>
      <c r="MJF43" s="155"/>
      <c r="MJG43" s="155"/>
      <c r="MJH43" s="155"/>
      <c r="MJI43" s="155"/>
      <c r="MJJ43" s="155"/>
      <c r="MJK43" s="155"/>
      <c r="MJL43" s="155"/>
      <c r="MJM43" s="155"/>
      <c r="MJN43" s="155"/>
      <c r="MJO43" s="155"/>
      <c r="MJP43" s="155"/>
      <c r="MJQ43" s="155"/>
      <c r="MJR43" s="155"/>
      <c r="MJS43" s="155"/>
      <c r="MJT43" s="155"/>
      <c r="MJU43" s="155"/>
      <c r="MJV43" s="155"/>
      <c r="MJW43" s="155"/>
      <c r="MJX43" s="155"/>
      <c r="MJY43" s="155"/>
      <c r="MJZ43" s="155"/>
      <c r="MKA43" s="155"/>
      <c r="MKB43" s="155"/>
      <c r="MKC43" s="155"/>
      <c r="MKD43" s="155"/>
      <c r="MKE43" s="155"/>
      <c r="MKF43" s="155"/>
      <c r="MKG43" s="155"/>
      <c r="MKH43" s="155"/>
      <c r="MKI43" s="155"/>
      <c r="MKJ43" s="155"/>
      <c r="MKK43" s="155"/>
      <c r="MKL43" s="155"/>
      <c r="MKM43" s="155"/>
      <c r="MKN43" s="155"/>
      <c r="MKO43" s="155"/>
      <c r="MKP43" s="155"/>
      <c r="MKQ43" s="155"/>
      <c r="MKR43" s="155"/>
      <c r="MKS43" s="155"/>
      <c r="MKT43" s="155"/>
      <c r="MKU43" s="155"/>
      <c r="MKV43" s="155"/>
      <c r="MKW43" s="155"/>
      <c r="MKX43" s="155"/>
      <c r="MKY43" s="155"/>
      <c r="MKZ43" s="155"/>
      <c r="MLA43" s="155"/>
      <c r="MLB43" s="155"/>
      <c r="MLC43" s="155"/>
      <c r="MLD43" s="155"/>
      <c r="MLE43" s="155"/>
      <c r="MLF43" s="155"/>
      <c r="MLG43" s="155"/>
      <c r="MLH43" s="155"/>
      <c r="MLI43" s="155"/>
      <c r="MLJ43" s="155"/>
      <c r="MLK43" s="155"/>
      <c r="MLL43" s="155"/>
      <c r="MLM43" s="155"/>
      <c r="MLN43" s="155"/>
      <c r="MLO43" s="155"/>
      <c r="MLP43" s="155"/>
      <c r="MLQ43" s="155"/>
      <c r="MLR43" s="155"/>
      <c r="MLS43" s="155"/>
      <c r="MLT43" s="155"/>
      <c r="MLU43" s="155"/>
      <c r="MLV43" s="155"/>
      <c r="MLW43" s="155"/>
      <c r="MLX43" s="155"/>
      <c r="MLY43" s="155"/>
      <c r="MLZ43" s="155"/>
      <c r="MMA43" s="155"/>
      <c r="MMB43" s="155"/>
      <c r="MMC43" s="155"/>
      <c r="MMD43" s="155"/>
      <c r="MME43" s="155"/>
      <c r="MMF43" s="155"/>
      <c r="MMG43" s="155"/>
      <c r="MMH43" s="155"/>
      <c r="MMI43" s="155"/>
      <c r="MMJ43" s="155"/>
      <c r="MMK43" s="155"/>
      <c r="MML43" s="155"/>
      <c r="MMM43" s="155"/>
      <c r="MMN43" s="155"/>
      <c r="MMO43" s="155"/>
      <c r="MMP43" s="155"/>
      <c r="MMQ43" s="155"/>
      <c r="MMR43" s="155"/>
      <c r="MMS43" s="155"/>
      <c r="MMT43" s="155"/>
      <c r="MMU43" s="155"/>
      <c r="MMV43" s="155"/>
      <c r="MMW43" s="155"/>
      <c r="MMX43" s="155"/>
      <c r="MMY43" s="155"/>
      <c r="MMZ43" s="155"/>
      <c r="MNA43" s="155"/>
      <c r="MNB43" s="155"/>
      <c r="MNC43" s="155"/>
      <c r="MND43" s="155"/>
      <c r="MNE43" s="155"/>
      <c r="MNF43" s="155"/>
      <c r="MNG43" s="155"/>
      <c r="MNH43" s="155"/>
      <c r="MNI43" s="155"/>
      <c r="MNJ43" s="155"/>
      <c r="MNK43" s="155"/>
      <c r="MNL43" s="155"/>
      <c r="MNM43" s="155"/>
      <c r="MNN43" s="155"/>
      <c r="MNO43" s="155"/>
      <c r="MNP43" s="155"/>
      <c r="MNQ43" s="155"/>
      <c r="MNR43" s="155"/>
      <c r="MNS43" s="155"/>
      <c r="MNT43" s="155"/>
      <c r="MNU43" s="155"/>
      <c r="MNV43" s="155"/>
      <c r="MNW43" s="155"/>
      <c r="MNX43" s="155"/>
      <c r="MNY43" s="155"/>
      <c r="MNZ43" s="155"/>
      <c r="MOA43" s="155"/>
      <c r="MOB43" s="155"/>
      <c r="MOC43" s="155"/>
      <c r="MOD43" s="155"/>
      <c r="MOE43" s="155"/>
      <c r="MOF43" s="155"/>
      <c r="MOG43" s="155"/>
      <c r="MOH43" s="155"/>
      <c r="MOI43" s="155"/>
      <c r="MOJ43" s="155"/>
      <c r="MOK43" s="155"/>
      <c r="MOL43" s="155"/>
      <c r="MOM43" s="155"/>
      <c r="MON43" s="155"/>
      <c r="MOO43" s="155"/>
      <c r="MOP43" s="155"/>
      <c r="MOQ43" s="155"/>
      <c r="MOR43" s="155"/>
      <c r="MOS43" s="155"/>
      <c r="MOT43" s="155"/>
      <c r="MOU43" s="155"/>
      <c r="MOV43" s="155"/>
      <c r="MOW43" s="155"/>
      <c r="MOX43" s="155"/>
      <c r="MOY43" s="155"/>
      <c r="MOZ43" s="155"/>
      <c r="MPA43" s="155"/>
      <c r="MPB43" s="155"/>
      <c r="MPC43" s="155"/>
      <c r="MPD43" s="155"/>
      <c r="MPE43" s="155"/>
      <c r="MPF43" s="155"/>
      <c r="MPG43" s="155"/>
      <c r="MPH43" s="155"/>
      <c r="MPI43" s="155"/>
      <c r="MPJ43" s="155"/>
      <c r="MPK43" s="155"/>
      <c r="MPL43" s="155"/>
      <c r="MPM43" s="155"/>
      <c r="MPN43" s="155"/>
      <c r="MPO43" s="155"/>
      <c r="MPP43" s="155"/>
      <c r="MPQ43" s="155"/>
      <c r="MPR43" s="155"/>
      <c r="MPS43" s="155"/>
      <c r="MPT43" s="155"/>
      <c r="MPU43" s="155"/>
      <c r="MPV43" s="155"/>
      <c r="MPW43" s="155"/>
      <c r="MPX43" s="155"/>
      <c r="MPY43" s="155"/>
      <c r="MPZ43" s="155"/>
      <c r="MQA43" s="155"/>
      <c r="MQB43" s="155"/>
      <c r="MQC43" s="155"/>
      <c r="MQD43" s="155"/>
      <c r="MQE43" s="155"/>
      <c r="MQF43" s="155"/>
      <c r="MQG43" s="155"/>
      <c r="MQH43" s="155"/>
      <c r="MQI43" s="155"/>
      <c r="MQJ43" s="155"/>
      <c r="MQK43" s="155"/>
      <c r="MQL43" s="155"/>
      <c r="MQM43" s="155"/>
      <c r="MQN43" s="155"/>
      <c r="MQO43" s="155"/>
      <c r="MQP43" s="155"/>
      <c r="MQQ43" s="155"/>
      <c r="MQR43" s="155"/>
      <c r="MQS43" s="155"/>
      <c r="MQT43" s="155"/>
      <c r="MQU43" s="155"/>
      <c r="MQV43" s="155"/>
      <c r="MQW43" s="155"/>
      <c r="MQX43" s="155"/>
      <c r="MQY43" s="155"/>
      <c r="MQZ43" s="155"/>
      <c r="MRA43" s="155"/>
      <c r="MRB43" s="155"/>
      <c r="MRC43" s="155"/>
      <c r="MRD43" s="155"/>
      <c r="MRE43" s="155"/>
      <c r="MRF43" s="155"/>
      <c r="MRG43" s="155"/>
      <c r="MRH43" s="155"/>
      <c r="MRI43" s="155"/>
      <c r="MRJ43" s="155"/>
      <c r="MRK43" s="155"/>
      <c r="MRL43" s="155"/>
      <c r="MRM43" s="155"/>
      <c r="MRN43" s="155"/>
      <c r="MRO43" s="155"/>
      <c r="MRP43" s="155"/>
      <c r="MRQ43" s="155"/>
      <c r="MRR43" s="155"/>
      <c r="MRS43" s="155"/>
      <c r="MRT43" s="155"/>
      <c r="MRU43" s="155"/>
      <c r="MRV43" s="155"/>
      <c r="MRW43" s="155"/>
      <c r="MRX43" s="155"/>
      <c r="MRY43" s="155"/>
      <c r="MRZ43" s="155"/>
      <c r="MSA43" s="155"/>
      <c r="MSB43" s="155"/>
      <c r="MSC43" s="155"/>
      <c r="MSD43" s="155"/>
      <c r="MSE43" s="155"/>
      <c r="MSF43" s="155"/>
      <c r="MSG43" s="155"/>
      <c r="MSH43" s="155"/>
      <c r="MSI43" s="155"/>
      <c r="MSJ43" s="155"/>
      <c r="MSK43" s="155"/>
      <c r="MSL43" s="155"/>
      <c r="MSM43" s="155"/>
      <c r="MSN43" s="155"/>
      <c r="MSO43" s="155"/>
      <c r="MSP43" s="155"/>
      <c r="MSQ43" s="155"/>
      <c r="MSR43" s="155"/>
      <c r="MSS43" s="155"/>
      <c r="MST43" s="155"/>
      <c r="MSU43" s="155"/>
      <c r="MSV43" s="155"/>
      <c r="MSW43" s="155"/>
      <c r="MSX43" s="155"/>
      <c r="MSY43" s="155"/>
      <c r="MSZ43" s="155"/>
      <c r="MTA43" s="155"/>
      <c r="MTB43" s="155"/>
      <c r="MTC43" s="155"/>
      <c r="MTD43" s="155"/>
      <c r="MTE43" s="155"/>
      <c r="MTF43" s="155"/>
      <c r="MTG43" s="155"/>
      <c r="MTH43" s="155"/>
      <c r="MTI43" s="155"/>
      <c r="MTJ43" s="155"/>
      <c r="MTK43" s="155"/>
      <c r="MTL43" s="155"/>
      <c r="MTM43" s="155"/>
      <c r="MTN43" s="155"/>
      <c r="MTO43" s="155"/>
      <c r="MTP43" s="155"/>
      <c r="MTQ43" s="155"/>
      <c r="MTR43" s="155"/>
      <c r="MTS43" s="155"/>
      <c r="MTT43" s="155"/>
      <c r="MTU43" s="155"/>
      <c r="MTV43" s="155"/>
      <c r="MTW43" s="155"/>
      <c r="MTX43" s="155"/>
      <c r="MTY43" s="155"/>
      <c r="MTZ43" s="155"/>
      <c r="MUA43" s="155"/>
      <c r="MUB43" s="155"/>
      <c r="MUC43" s="155"/>
      <c r="MUD43" s="155"/>
      <c r="MUE43" s="155"/>
      <c r="MUF43" s="155"/>
      <c r="MUG43" s="155"/>
      <c r="MUH43" s="155"/>
      <c r="MUI43" s="155"/>
      <c r="MUJ43" s="155"/>
      <c r="MUK43" s="155"/>
      <c r="MUL43" s="155"/>
      <c r="MUM43" s="155"/>
      <c r="MUN43" s="155"/>
      <c r="MUO43" s="155"/>
      <c r="MUP43" s="155"/>
      <c r="MUQ43" s="155"/>
      <c r="MUR43" s="155"/>
      <c r="MUS43" s="155"/>
      <c r="MUT43" s="155"/>
      <c r="MUU43" s="155"/>
      <c r="MUV43" s="155"/>
      <c r="MUW43" s="155"/>
      <c r="MUX43" s="155"/>
      <c r="MUY43" s="155"/>
      <c r="MUZ43" s="155"/>
      <c r="MVA43" s="155"/>
      <c r="MVB43" s="155"/>
      <c r="MVC43" s="155"/>
      <c r="MVD43" s="155"/>
      <c r="MVE43" s="155"/>
      <c r="MVF43" s="155"/>
      <c r="MVG43" s="155"/>
      <c r="MVH43" s="155"/>
      <c r="MVI43" s="155"/>
      <c r="MVJ43" s="155"/>
      <c r="MVK43" s="155"/>
      <c r="MVL43" s="155"/>
      <c r="MVM43" s="155"/>
      <c r="MVN43" s="155"/>
      <c r="MVO43" s="155"/>
      <c r="MVP43" s="155"/>
      <c r="MVQ43" s="155"/>
      <c r="MVR43" s="155"/>
      <c r="MVS43" s="155"/>
      <c r="MVT43" s="155"/>
      <c r="MVU43" s="155"/>
      <c r="MVV43" s="155"/>
      <c r="MVW43" s="155"/>
      <c r="MVX43" s="155"/>
      <c r="MVY43" s="155"/>
      <c r="MVZ43" s="155"/>
      <c r="MWA43" s="155"/>
      <c r="MWB43" s="155"/>
      <c r="MWC43" s="155"/>
      <c r="MWD43" s="155"/>
      <c r="MWE43" s="155"/>
      <c r="MWF43" s="155"/>
      <c r="MWG43" s="155"/>
      <c r="MWH43" s="155"/>
      <c r="MWI43" s="155"/>
      <c r="MWJ43" s="155"/>
      <c r="MWK43" s="155"/>
      <c r="MWL43" s="155"/>
      <c r="MWM43" s="155"/>
      <c r="MWN43" s="155"/>
      <c r="MWO43" s="155"/>
      <c r="MWP43" s="155"/>
      <c r="MWQ43" s="155"/>
      <c r="MWR43" s="155"/>
      <c r="MWS43" s="155"/>
      <c r="MWT43" s="155"/>
      <c r="MWU43" s="155"/>
      <c r="MWV43" s="155"/>
      <c r="MWW43" s="155"/>
      <c r="MWX43" s="155"/>
      <c r="MWY43" s="155"/>
      <c r="MWZ43" s="155"/>
      <c r="MXA43" s="155"/>
      <c r="MXB43" s="155"/>
      <c r="MXC43" s="155"/>
      <c r="MXD43" s="155"/>
      <c r="MXE43" s="155"/>
      <c r="MXF43" s="155"/>
      <c r="MXG43" s="155"/>
      <c r="MXH43" s="155"/>
      <c r="MXI43" s="155"/>
      <c r="MXJ43" s="155"/>
      <c r="MXK43" s="155"/>
      <c r="MXL43" s="155"/>
      <c r="MXM43" s="155"/>
      <c r="MXN43" s="155"/>
      <c r="MXO43" s="155"/>
      <c r="MXP43" s="155"/>
      <c r="MXQ43" s="155"/>
      <c r="MXR43" s="155"/>
      <c r="MXS43" s="155"/>
      <c r="MXT43" s="155"/>
      <c r="MXU43" s="155"/>
      <c r="MXV43" s="155"/>
      <c r="MXW43" s="155"/>
      <c r="MXX43" s="155"/>
      <c r="MXY43" s="155"/>
      <c r="MXZ43" s="155"/>
      <c r="MYA43" s="155"/>
      <c r="MYB43" s="155"/>
      <c r="MYC43" s="155"/>
      <c r="MYD43" s="155"/>
      <c r="MYE43" s="155"/>
      <c r="MYF43" s="155"/>
      <c r="MYG43" s="155"/>
      <c r="MYH43" s="155"/>
      <c r="MYI43" s="155"/>
      <c r="MYJ43" s="155"/>
      <c r="MYK43" s="155"/>
      <c r="MYL43" s="155"/>
      <c r="MYM43" s="155"/>
      <c r="MYN43" s="155"/>
      <c r="MYO43" s="155"/>
      <c r="MYP43" s="155"/>
      <c r="MYQ43" s="155"/>
      <c r="MYR43" s="155"/>
      <c r="MYS43" s="155"/>
      <c r="MYT43" s="155"/>
      <c r="MYU43" s="155"/>
      <c r="MYV43" s="155"/>
      <c r="MYW43" s="155"/>
      <c r="MYX43" s="155"/>
      <c r="MYY43" s="155"/>
      <c r="MYZ43" s="155"/>
      <c r="MZA43" s="155"/>
      <c r="MZB43" s="155"/>
      <c r="MZC43" s="155"/>
      <c r="MZD43" s="155"/>
      <c r="MZE43" s="155"/>
      <c r="MZF43" s="155"/>
      <c r="MZG43" s="155"/>
      <c r="MZH43" s="155"/>
      <c r="MZI43" s="155"/>
      <c r="MZJ43" s="155"/>
      <c r="MZK43" s="155"/>
      <c r="MZL43" s="155"/>
      <c r="MZM43" s="155"/>
      <c r="MZN43" s="155"/>
      <c r="MZO43" s="155"/>
      <c r="MZP43" s="155"/>
      <c r="MZQ43" s="155"/>
      <c r="MZR43" s="155"/>
      <c r="MZS43" s="155"/>
      <c r="MZT43" s="155"/>
      <c r="MZU43" s="155"/>
      <c r="MZV43" s="155"/>
      <c r="MZW43" s="155"/>
      <c r="MZX43" s="155"/>
      <c r="MZY43" s="155"/>
      <c r="MZZ43" s="155"/>
      <c r="NAA43" s="155"/>
      <c r="NAB43" s="155"/>
      <c r="NAC43" s="155"/>
      <c r="NAD43" s="155"/>
      <c r="NAE43" s="155"/>
      <c r="NAF43" s="155"/>
      <c r="NAG43" s="155"/>
      <c r="NAH43" s="155"/>
      <c r="NAI43" s="155"/>
      <c r="NAJ43" s="155"/>
      <c r="NAK43" s="155"/>
      <c r="NAL43" s="155"/>
      <c r="NAM43" s="155"/>
      <c r="NAN43" s="155"/>
      <c r="NAO43" s="155"/>
      <c r="NAP43" s="155"/>
      <c r="NAQ43" s="155"/>
      <c r="NAR43" s="155"/>
      <c r="NAS43" s="155"/>
      <c r="NAT43" s="155"/>
      <c r="NAU43" s="155"/>
      <c r="NAV43" s="155"/>
      <c r="NAW43" s="155"/>
      <c r="NAX43" s="155"/>
      <c r="NAY43" s="155"/>
      <c r="NAZ43" s="155"/>
      <c r="NBA43" s="155"/>
      <c r="NBB43" s="155"/>
      <c r="NBC43" s="155"/>
      <c r="NBD43" s="155"/>
      <c r="NBE43" s="155"/>
      <c r="NBF43" s="155"/>
      <c r="NBG43" s="155"/>
      <c r="NBH43" s="155"/>
      <c r="NBI43" s="155"/>
      <c r="NBJ43" s="155"/>
      <c r="NBK43" s="155"/>
      <c r="NBL43" s="155"/>
      <c r="NBM43" s="155"/>
      <c r="NBN43" s="155"/>
      <c r="NBO43" s="155"/>
      <c r="NBP43" s="155"/>
      <c r="NBQ43" s="155"/>
      <c r="NBR43" s="155"/>
      <c r="NBS43" s="155"/>
      <c r="NBT43" s="155"/>
      <c r="NBU43" s="155"/>
      <c r="NBV43" s="155"/>
      <c r="NBW43" s="155"/>
      <c r="NBX43" s="155"/>
      <c r="NBY43" s="155"/>
      <c r="NBZ43" s="155"/>
      <c r="NCA43" s="155"/>
      <c r="NCB43" s="155"/>
      <c r="NCC43" s="155"/>
      <c r="NCD43" s="155"/>
      <c r="NCE43" s="155"/>
      <c r="NCF43" s="155"/>
      <c r="NCG43" s="155"/>
      <c r="NCH43" s="155"/>
      <c r="NCI43" s="155"/>
      <c r="NCJ43" s="155"/>
      <c r="NCK43" s="155"/>
      <c r="NCL43" s="155"/>
      <c r="NCM43" s="155"/>
      <c r="NCN43" s="155"/>
      <c r="NCO43" s="155"/>
      <c r="NCP43" s="155"/>
      <c r="NCQ43" s="155"/>
      <c r="NCR43" s="155"/>
      <c r="NCS43" s="155"/>
      <c r="NCT43" s="155"/>
      <c r="NCU43" s="155"/>
      <c r="NCV43" s="155"/>
      <c r="NCW43" s="155"/>
      <c r="NCX43" s="155"/>
      <c r="NCY43" s="155"/>
      <c r="NCZ43" s="155"/>
      <c r="NDA43" s="155"/>
      <c r="NDB43" s="155"/>
      <c r="NDC43" s="155"/>
      <c r="NDD43" s="155"/>
      <c r="NDE43" s="155"/>
      <c r="NDF43" s="155"/>
      <c r="NDG43" s="155"/>
      <c r="NDH43" s="155"/>
      <c r="NDI43" s="155"/>
      <c r="NDJ43" s="155"/>
      <c r="NDK43" s="155"/>
      <c r="NDL43" s="155"/>
      <c r="NDM43" s="155"/>
      <c r="NDN43" s="155"/>
      <c r="NDO43" s="155"/>
      <c r="NDP43" s="155"/>
      <c r="NDQ43" s="155"/>
      <c r="NDR43" s="155"/>
      <c r="NDS43" s="155"/>
      <c r="NDT43" s="155"/>
      <c r="NDU43" s="155"/>
      <c r="NDV43" s="155"/>
      <c r="NDW43" s="155"/>
      <c r="NDX43" s="155"/>
      <c r="NDY43" s="155"/>
      <c r="NDZ43" s="155"/>
      <c r="NEA43" s="155"/>
      <c r="NEB43" s="155"/>
      <c r="NEC43" s="155"/>
      <c r="NED43" s="155"/>
      <c r="NEE43" s="155"/>
      <c r="NEF43" s="155"/>
      <c r="NEG43" s="155"/>
      <c r="NEH43" s="155"/>
      <c r="NEI43" s="155"/>
      <c r="NEJ43" s="155"/>
      <c r="NEK43" s="155"/>
      <c r="NEL43" s="155"/>
      <c r="NEM43" s="155"/>
      <c r="NEN43" s="155"/>
      <c r="NEO43" s="155"/>
      <c r="NEP43" s="155"/>
      <c r="NEQ43" s="155"/>
      <c r="NER43" s="155"/>
      <c r="NES43" s="155"/>
      <c r="NET43" s="155"/>
      <c r="NEU43" s="155"/>
      <c r="NEV43" s="155"/>
      <c r="NEW43" s="155"/>
      <c r="NEX43" s="155"/>
      <c r="NEY43" s="155"/>
      <c r="NEZ43" s="155"/>
      <c r="NFA43" s="155"/>
      <c r="NFB43" s="155"/>
      <c r="NFC43" s="155"/>
      <c r="NFD43" s="155"/>
      <c r="NFE43" s="155"/>
      <c r="NFF43" s="155"/>
      <c r="NFG43" s="155"/>
      <c r="NFH43" s="155"/>
      <c r="NFI43" s="155"/>
      <c r="NFJ43" s="155"/>
      <c r="NFK43" s="155"/>
      <c r="NFL43" s="155"/>
      <c r="NFM43" s="155"/>
      <c r="NFN43" s="155"/>
      <c r="NFO43" s="155"/>
      <c r="NFP43" s="155"/>
      <c r="NFQ43" s="155"/>
      <c r="NFR43" s="155"/>
      <c r="NFS43" s="155"/>
      <c r="NFT43" s="155"/>
      <c r="NFU43" s="155"/>
      <c r="NFV43" s="155"/>
      <c r="NFW43" s="155"/>
      <c r="NFX43" s="155"/>
      <c r="NFY43" s="155"/>
      <c r="NFZ43" s="155"/>
      <c r="NGA43" s="155"/>
      <c r="NGB43" s="155"/>
      <c r="NGC43" s="155"/>
      <c r="NGD43" s="155"/>
      <c r="NGE43" s="155"/>
      <c r="NGF43" s="155"/>
      <c r="NGG43" s="155"/>
      <c r="NGH43" s="155"/>
      <c r="NGI43" s="155"/>
      <c r="NGJ43" s="155"/>
      <c r="NGK43" s="155"/>
      <c r="NGL43" s="155"/>
      <c r="NGM43" s="155"/>
      <c r="NGN43" s="155"/>
      <c r="NGO43" s="155"/>
      <c r="NGP43" s="155"/>
      <c r="NGQ43" s="155"/>
      <c r="NGR43" s="155"/>
      <c r="NGS43" s="155"/>
      <c r="NGT43" s="155"/>
      <c r="NGU43" s="155"/>
      <c r="NGV43" s="155"/>
      <c r="NGW43" s="155"/>
      <c r="NGX43" s="155"/>
      <c r="NGY43" s="155"/>
      <c r="NGZ43" s="155"/>
      <c r="NHA43" s="155"/>
      <c r="NHB43" s="155"/>
      <c r="NHC43" s="155"/>
      <c r="NHD43" s="155"/>
      <c r="NHE43" s="155"/>
      <c r="NHF43" s="155"/>
      <c r="NHG43" s="155"/>
      <c r="NHH43" s="155"/>
      <c r="NHI43" s="155"/>
      <c r="NHJ43" s="155"/>
      <c r="NHK43" s="155"/>
      <c r="NHL43" s="155"/>
      <c r="NHM43" s="155"/>
      <c r="NHN43" s="155"/>
      <c r="NHO43" s="155"/>
      <c r="NHP43" s="155"/>
      <c r="NHQ43" s="155"/>
      <c r="NHR43" s="155"/>
      <c r="NHS43" s="155"/>
      <c r="NHT43" s="155"/>
      <c r="NHU43" s="155"/>
      <c r="NHV43" s="155"/>
      <c r="NHW43" s="155"/>
      <c r="NHX43" s="155"/>
      <c r="NHY43" s="155"/>
      <c r="NHZ43" s="155"/>
      <c r="NIA43" s="155"/>
      <c r="NIB43" s="155"/>
      <c r="NIC43" s="155"/>
      <c r="NID43" s="155"/>
      <c r="NIE43" s="155"/>
      <c r="NIF43" s="155"/>
      <c r="NIG43" s="155"/>
      <c r="NIH43" s="155"/>
      <c r="NII43" s="155"/>
      <c r="NIJ43" s="155"/>
      <c r="NIK43" s="155"/>
      <c r="NIL43" s="155"/>
      <c r="NIM43" s="155"/>
      <c r="NIN43" s="155"/>
      <c r="NIO43" s="155"/>
      <c r="NIP43" s="155"/>
      <c r="NIQ43" s="155"/>
      <c r="NIR43" s="155"/>
      <c r="NIS43" s="155"/>
      <c r="NIT43" s="155"/>
      <c r="NIU43" s="155"/>
      <c r="NIV43" s="155"/>
      <c r="NIW43" s="155"/>
      <c r="NIX43" s="155"/>
      <c r="NIY43" s="155"/>
      <c r="NIZ43" s="155"/>
      <c r="NJA43" s="155"/>
      <c r="NJB43" s="155"/>
      <c r="NJC43" s="155"/>
      <c r="NJD43" s="155"/>
      <c r="NJE43" s="155"/>
      <c r="NJF43" s="155"/>
      <c r="NJG43" s="155"/>
      <c r="NJH43" s="155"/>
      <c r="NJI43" s="155"/>
      <c r="NJJ43" s="155"/>
      <c r="NJK43" s="155"/>
      <c r="NJL43" s="155"/>
      <c r="NJM43" s="155"/>
      <c r="NJN43" s="155"/>
      <c r="NJO43" s="155"/>
      <c r="NJP43" s="155"/>
      <c r="NJQ43" s="155"/>
      <c r="NJR43" s="155"/>
      <c r="NJS43" s="155"/>
      <c r="NJT43" s="155"/>
      <c r="NJU43" s="155"/>
      <c r="NJV43" s="155"/>
      <c r="NJW43" s="155"/>
      <c r="NJX43" s="155"/>
      <c r="NJY43" s="155"/>
      <c r="NJZ43" s="155"/>
      <c r="NKA43" s="155"/>
      <c r="NKB43" s="155"/>
      <c r="NKC43" s="155"/>
      <c r="NKD43" s="155"/>
      <c r="NKE43" s="155"/>
      <c r="NKF43" s="155"/>
      <c r="NKG43" s="155"/>
      <c r="NKH43" s="155"/>
      <c r="NKI43" s="155"/>
      <c r="NKJ43" s="155"/>
      <c r="NKK43" s="155"/>
      <c r="NKL43" s="155"/>
      <c r="NKM43" s="155"/>
      <c r="NKN43" s="155"/>
      <c r="NKO43" s="155"/>
      <c r="NKP43" s="155"/>
      <c r="NKQ43" s="155"/>
      <c r="NKR43" s="155"/>
      <c r="NKS43" s="155"/>
      <c r="NKT43" s="155"/>
      <c r="NKU43" s="155"/>
      <c r="NKV43" s="155"/>
      <c r="NKW43" s="155"/>
      <c r="NKX43" s="155"/>
      <c r="NKY43" s="155"/>
      <c r="NKZ43" s="155"/>
      <c r="NLA43" s="155"/>
      <c r="NLB43" s="155"/>
      <c r="NLC43" s="155"/>
      <c r="NLD43" s="155"/>
      <c r="NLE43" s="155"/>
      <c r="NLF43" s="155"/>
      <c r="NLG43" s="155"/>
      <c r="NLH43" s="155"/>
      <c r="NLI43" s="155"/>
      <c r="NLJ43" s="155"/>
      <c r="NLK43" s="155"/>
      <c r="NLL43" s="155"/>
      <c r="NLM43" s="155"/>
      <c r="NLN43" s="155"/>
      <c r="NLO43" s="155"/>
      <c r="NLP43" s="155"/>
      <c r="NLQ43" s="155"/>
      <c r="NLR43" s="155"/>
      <c r="NLS43" s="155"/>
      <c r="NLT43" s="155"/>
      <c r="NLU43" s="155"/>
      <c r="NLV43" s="155"/>
      <c r="NLW43" s="155"/>
      <c r="NLX43" s="155"/>
      <c r="NLY43" s="155"/>
      <c r="NLZ43" s="155"/>
      <c r="NMA43" s="155"/>
      <c r="NMB43" s="155"/>
      <c r="NMC43" s="155"/>
      <c r="NMD43" s="155"/>
      <c r="NME43" s="155"/>
      <c r="NMF43" s="155"/>
      <c r="NMG43" s="155"/>
      <c r="NMH43" s="155"/>
      <c r="NMI43" s="155"/>
      <c r="NMJ43" s="155"/>
      <c r="NMK43" s="155"/>
      <c r="NML43" s="155"/>
      <c r="NMM43" s="155"/>
      <c r="NMN43" s="155"/>
      <c r="NMO43" s="155"/>
      <c r="NMP43" s="155"/>
      <c r="NMQ43" s="155"/>
      <c r="NMR43" s="155"/>
      <c r="NMS43" s="155"/>
      <c r="NMT43" s="155"/>
      <c r="NMU43" s="155"/>
      <c r="NMV43" s="155"/>
      <c r="NMW43" s="155"/>
      <c r="NMX43" s="155"/>
      <c r="NMY43" s="155"/>
      <c r="NMZ43" s="155"/>
      <c r="NNA43" s="155"/>
      <c r="NNB43" s="155"/>
      <c r="NNC43" s="155"/>
      <c r="NND43" s="155"/>
      <c r="NNE43" s="155"/>
      <c r="NNF43" s="155"/>
      <c r="NNG43" s="155"/>
      <c r="NNH43" s="155"/>
      <c r="NNI43" s="155"/>
      <c r="NNJ43" s="155"/>
      <c r="NNK43" s="155"/>
      <c r="NNL43" s="155"/>
      <c r="NNM43" s="155"/>
      <c r="NNN43" s="155"/>
      <c r="NNO43" s="155"/>
      <c r="NNP43" s="155"/>
      <c r="NNQ43" s="155"/>
      <c r="NNR43" s="155"/>
      <c r="NNS43" s="155"/>
      <c r="NNT43" s="155"/>
      <c r="NNU43" s="155"/>
      <c r="NNV43" s="155"/>
      <c r="NNW43" s="155"/>
      <c r="NNX43" s="155"/>
      <c r="NNY43" s="155"/>
      <c r="NNZ43" s="155"/>
      <c r="NOA43" s="155"/>
      <c r="NOB43" s="155"/>
      <c r="NOC43" s="155"/>
      <c r="NOD43" s="155"/>
      <c r="NOE43" s="155"/>
      <c r="NOF43" s="155"/>
      <c r="NOG43" s="155"/>
      <c r="NOH43" s="155"/>
      <c r="NOI43" s="155"/>
      <c r="NOJ43" s="155"/>
      <c r="NOK43" s="155"/>
      <c r="NOL43" s="155"/>
      <c r="NOM43" s="155"/>
      <c r="NON43" s="155"/>
      <c r="NOO43" s="155"/>
      <c r="NOP43" s="155"/>
      <c r="NOQ43" s="155"/>
      <c r="NOR43" s="155"/>
      <c r="NOS43" s="155"/>
      <c r="NOT43" s="155"/>
      <c r="NOU43" s="155"/>
      <c r="NOV43" s="155"/>
      <c r="NOW43" s="155"/>
      <c r="NOX43" s="155"/>
      <c r="NOY43" s="155"/>
      <c r="NOZ43" s="155"/>
      <c r="NPA43" s="155"/>
      <c r="NPB43" s="155"/>
      <c r="NPC43" s="155"/>
      <c r="NPD43" s="155"/>
      <c r="NPE43" s="155"/>
      <c r="NPF43" s="155"/>
      <c r="NPG43" s="155"/>
      <c r="NPH43" s="155"/>
      <c r="NPI43" s="155"/>
      <c r="NPJ43" s="155"/>
      <c r="NPK43" s="155"/>
      <c r="NPL43" s="155"/>
      <c r="NPM43" s="155"/>
      <c r="NPN43" s="155"/>
      <c r="NPO43" s="155"/>
      <c r="NPP43" s="155"/>
      <c r="NPQ43" s="155"/>
      <c r="NPR43" s="155"/>
      <c r="NPS43" s="155"/>
      <c r="NPT43" s="155"/>
      <c r="NPU43" s="155"/>
      <c r="NPV43" s="155"/>
      <c r="NPW43" s="155"/>
      <c r="NPX43" s="155"/>
      <c r="NPY43" s="155"/>
      <c r="NPZ43" s="155"/>
      <c r="NQA43" s="155"/>
      <c r="NQB43" s="155"/>
      <c r="NQC43" s="155"/>
      <c r="NQD43" s="155"/>
      <c r="NQE43" s="155"/>
      <c r="NQF43" s="155"/>
      <c r="NQG43" s="155"/>
      <c r="NQH43" s="155"/>
      <c r="NQI43" s="155"/>
      <c r="NQJ43" s="155"/>
      <c r="NQK43" s="155"/>
      <c r="NQL43" s="155"/>
      <c r="NQM43" s="155"/>
      <c r="NQN43" s="155"/>
      <c r="NQO43" s="155"/>
      <c r="NQP43" s="155"/>
      <c r="NQQ43" s="155"/>
      <c r="NQR43" s="155"/>
      <c r="NQS43" s="155"/>
      <c r="NQT43" s="155"/>
      <c r="NQU43" s="155"/>
      <c r="NQV43" s="155"/>
      <c r="NQW43" s="155"/>
      <c r="NQX43" s="155"/>
      <c r="NQY43" s="155"/>
      <c r="NQZ43" s="155"/>
      <c r="NRA43" s="155"/>
      <c r="NRB43" s="155"/>
      <c r="NRC43" s="155"/>
      <c r="NRD43" s="155"/>
      <c r="NRE43" s="155"/>
      <c r="NRF43" s="155"/>
      <c r="NRG43" s="155"/>
      <c r="NRH43" s="155"/>
      <c r="NRI43" s="155"/>
      <c r="NRJ43" s="155"/>
      <c r="NRK43" s="155"/>
      <c r="NRL43" s="155"/>
      <c r="NRM43" s="155"/>
      <c r="NRN43" s="155"/>
      <c r="NRO43" s="155"/>
      <c r="NRP43" s="155"/>
      <c r="NRQ43" s="155"/>
      <c r="NRR43" s="155"/>
      <c r="NRS43" s="155"/>
      <c r="NRT43" s="155"/>
      <c r="NRU43" s="155"/>
      <c r="NRV43" s="155"/>
      <c r="NRW43" s="155"/>
      <c r="NRX43" s="155"/>
      <c r="NRY43" s="155"/>
      <c r="NRZ43" s="155"/>
      <c r="NSA43" s="155"/>
      <c r="NSB43" s="155"/>
      <c r="NSC43" s="155"/>
      <c r="NSD43" s="155"/>
      <c r="NSE43" s="155"/>
      <c r="NSF43" s="155"/>
      <c r="NSG43" s="155"/>
      <c r="NSH43" s="155"/>
      <c r="NSI43" s="155"/>
      <c r="NSJ43" s="155"/>
      <c r="NSK43" s="155"/>
      <c r="NSL43" s="155"/>
      <c r="NSM43" s="155"/>
      <c r="NSN43" s="155"/>
      <c r="NSO43" s="155"/>
      <c r="NSP43" s="155"/>
      <c r="NSQ43" s="155"/>
      <c r="NSR43" s="155"/>
      <c r="NSS43" s="155"/>
      <c r="NST43" s="155"/>
      <c r="NSU43" s="155"/>
      <c r="NSV43" s="155"/>
      <c r="NSW43" s="155"/>
      <c r="NSX43" s="155"/>
      <c r="NSY43" s="155"/>
      <c r="NSZ43" s="155"/>
      <c r="NTA43" s="155"/>
      <c r="NTB43" s="155"/>
      <c r="NTC43" s="155"/>
      <c r="NTD43" s="155"/>
      <c r="NTE43" s="155"/>
      <c r="NTF43" s="155"/>
      <c r="NTG43" s="155"/>
      <c r="NTH43" s="155"/>
      <c r="NTI43" s="155"/>
      <c r="NTJ43" s="155"/>
      <c r="NTK43" s="155"/>
      <c r="NTL43" s="155"/>
      <c r="NTM43" s="155"/>
      <c r="NTN43" s="155"/>
      <c r="NTO43" s="155"/>
      <c r="NTP43" s="155"/>
      <c r="NTQ43" s="155"/>
      <c r="NTR43" s="155"/>
      <c r="NTS43" s="155"/>
      <c r="NTT43" s="155"/>
      <c r="NTU43" s="155"/>
      <c r="NTV43" s="155"/>
      <c r="NTW43" s="155"/>
      <c r="NTX43" s="155"/>
      <c r="NTY43" s="155"/>
      <c r="NTZ43" s="155"/>
      <c r="NUA43" s="155"/>
      <c r="NUB43" s="155"/>
      <c r="NUC43" s="155"/>
      <c r="NUD43" s="155"/>
      <c r="NUE43" s="155"/>
      <c r="NUF43" s="155"/>
      <c r="NUG43" s="155"/>
      <c r="NUH43" s="155"/>
      <c r="NUI43" s="155"/>
      <c r="NUJ43" s="155"/>
      <c r="NUK43" s="155"/>
      <c r="NUL43" s="155"/>
      <c r="NUM43" s="155"/>
      <c r="NUN43" s="155"/>
      <c r="NUO43" s="155"/>
      <c r="NUP43" s="155"/>
      <c r="NUQ43" s="155"/>
      <c r="NUR43" s="155"/>
      <c r="NUS43" s="155"/>
      <c r="NUT43" s="155"/>
      <c r="NUU43" s="155"/>
      <c r="NUV43" s="155"/>
      <c r="NUW43" s="155"/>
      <c r="NUX43" s="155"/>
      <c r="NUY43" s="155"/>
      <c r="NUZ43" s="155"/>
      <c r="NVA43" s="155"/>
      <c r="NVB43" s="155"/>
      <c r="NVC43" s="155"/>
      <c r="NVD43" s="155"/>
      <c r="NVE43" s="155"/>
      <c r="NVF43" s="155"/>
      <c r="NVG43" s="155"/>
      <c r="NVH43" s="155"/>
      <c r="NVI43" s="155"/>
      <c r="NVJ43" s="155"/>
      <c r="NVK43" s="155"/>
      <c r="NVL43" s="155"/>
      <c r="NVM43" s="155"/>
      <c r="NVN43" s="155"/>
      <c r="NVO43" s="155"/>
      <c r="NVP43" s="155"/>
      <c r="NVQ43" s="155"/>
      <c r="NVR43" s="155"/>
      <c r="NVS43" s="155"/>
      <c r="NVT43" s="155"/>
      <c r="NVU43" s="155"/>
      <c r="NVV43" s="155"/>
      <c r="NVW43" s="155"/>
      <c r="NVX43" s="155"/>
      <c r="NVY43" s="155"/>
      <c r="NVZ43" s="155"/>
      <c r="NWA43" s="155"/>
      <c r="NWB43" s="155"/>
      <c r="NWC43" s="155"/>
      <c r="NWD43" s="155"/>
      <c r="NWE43" s="155"/>
      <c r="NWF43" s="155"/>
      <c r="NWG43" s="155"/>
      <c r="NWH43" s="155"/>
      <c r="NWI43" s="155"/>
      <c r="NWJ43" s="155"/>
      <c r="NWK43" s="155"/>
      <c r="NWL43" s="155"/>
      <c r="NWM43" s="155"/>
      <c r="NWN43" s="155"/>
      <c r="NWO43" s="155"/>
      <c r="NWP43" s="155"/>
      <c r="NWQ43" s="155"/>
      <c r="NWR43" s="155"/>
      <c r="NWS43" s="155"/>
      <c r="NWT43" s="155"/>
      <c r="NWU43" s="155"/>
      <c r="NWV43" s="155"/>
      <c r="NWW43" s="155"/>
      <c r="NWX43" s="155"/>
      <c r="NWY43" s="155"/>
      <c r="NWZ43" s="155"/>
      <c r="NXA43" s="155"/>
      <c r="NXB43" s="155"/>
      <c r="NXC43" s="155"/>
      <c r="NXD43" s="155"/>
      <c r="NXE43" s="155"/>
      <c r="NXF43" s="155"/>
      <c r="NXG43" s="155"/>
      <c r="NXH43" s="155"/>
      <c r="NXI43" s="155"/>
      <c r="NXJ43" s="155"/>
      <c r="NXK43" s="155"/>
      <c r="NXL43" s="155"/>
      <c r="NXM43" s="155"/>
      <c r="NXN43" s="155"/>
      <c r="NXO43" s="155"/>
      <c r="NXP43" s="155"/>
      <c r="NXQ43" s="155"/>
      <c r="NXR43" s="155"/>
      <c r="NXS43" s="155"/>
      <c r="NXT43" s="155"/>
      <c r="NXU43" s="155"/>
      <c r="NXV43" s="155"/>
      <c r="NXW43" s="155"/>
      <c r="NXX43" s="155"/>
      <c r="NXY43" s="155"/>
      <c r="NXZ43" s="155"/>
      <c r="NYA43" s="155"/>
      <c r="NYB43" s="155"/>
      <c r="NYC43" s="155"/>
      <c r="NYD43" s="155"/>
      <c r="NYE43" s="155"/>
      <c r="NYF43" s="155"/>
      <c r="NYG43" s="155"/>
      <c r="NYH43" s="155"/>
      <c r="NYI43" s="155"/>
      <c r="NYJ43" s="155"/>
      <c r="NYK43" s="155"/>
      <c r="NYL43" s="155"/>
      <c r="NYM43" s="155"/>
      <c r="NYN43" s="155"/>
      <c r="NYO43" s="155"/>
      <c r="NYP43" s="155"/>
      <c r="NYQ43" s="155"/>
      <c r="NYR43" s="155"/>
      <c r="NYS43" s="155"/>
      <c r="NYT43" s="155"/>
      <c r="NYU43" s="155"/>
      <c r="NYV43" s="155"/>
      <c r="NYW43" s="155"/>
      <c r="NYX43" s="155"/>
      <c r="NYY43" s="155"/>
      <c r="NYZ43" s="155"/>
      <c r="NZA43" s="155"/>
      <c r="NZB43" s="155"/>
      <c r="NZC43" s="155"/>
      <c r="NZD43" s="155"/>
      <c r="NZE43" s="155"/>
      <c r="NZF43" s="155"/>
      <c r="NZG43" s="155"/>
      <c r="NZH43" s="155"/>
      <c r="NZI43" s="155"/>
      <c r="NZJ43" s="155"/>
      <c r="NZK43" s="155"/>
      <c r="NZL43" s="155"/>
      <c r="NZM43" s="155"/>
      <c r="NZN43" s="155"/>
      <c r="NZO43" s="155"/>
      <c r="NZP43" s="155"/>
      <c r="NZQ43" s="155"/>
      <c r="NZR43" s="155"/>
      <c r="NZS43" s="155"/>
      <c r="NZT43" s="155"/>
      <c r="NZU43" s="155"/>
      <c r="NZV43" s="155"/>
      <c r="NZW43" s="155"/>
      <c r="NZX43" s="155"/>
      <c r="NZY43" s="155"/>
      <c r="NZZ43" s="155"/>
      <c r="OAA43" s="155"/>
      <c r="OAB43" s="155"/>
      <c r="OAC43" s="155"/>
      <c r="OAD43" s="155"/>
      <c r="OAE43" s="155"/>
      <c r="OAF43" s="155"/>
      <c r="OAG43" s="155"/>
      <c r="OAH43" s="155"/>
      <c r="OAI43" s="155"/>
      <c r="OAJ43" s="155"/>
      <c r="OAK43" s="155"/>
      <c r="OAL43" s="155"/>
      <c r="OAM43" s="155"/>
      <c r="OAN43" s="155"/>
      <c r="OAO43" s="155"/>
      <c r="OAP43" s="155"/>
      <c r="OAQ43" s="155"/>
      <c r="OAR43" s="155"/>
      <c r="OAS43" s="155"/>
      <c r="OAT43" s="155"/>
      <c r="OAU43" s="155"/>
      <c r="OAV43" s="155"/>
      <c r="OAW43" s="155"/>
      <c r="OAX43" s="155"/>
      <c r="OAY43" s="155"/>
      <c r="OAZ43" s="155"/>
      <c r="OBA43" s="155"/>
      <c r="OBB43" s="155"/>
      <c r="OBC43" s="155"/>
      <c r="OBD43" s="155"/>
      <c r="OBE43" s="155"/>
      <c r="OBF43" s="155"/>
      <c r="OBG43" s="155"/>
      <c r="OBH43" s="155"/>
      <c r="OBI43" s="155"/>
      <c r="OBJ43" s="155"/>
      <c r="OBK43" s="155"/>
      <c r="OBL43" s="155"/>
      <c r="OBM43" s="155"/>
      <c r="OBN43" s="155"/>
      <c r="OBO43" s="155"/>
      <c r="OBP43" s="155"/>
      <c r="OBQ43" s="155"/>
      <c r="OBR43" s="155"/>
      <c r="OBS43" s="155"/>
      <c r="OBT43" s="155"/>
      <c r="OBU43" s="155"/>
      <c r="OBV43" s="155"/>
      <c r="OBW43" s="155"/>
      <c r="OBX43" s="155"/>
      <c r="OBY43" s="155"/>
      <c r="OBZ43" s="155"/>
      <c r="OCA43" s="155"/>
      <c r="OCB43" s="155"/>
      <c r="OCC43" s="155"/>
      <c r="OCD43" s="155"/>
      <c r="OCE43" s="155"/>
      <c r="OCF43" s="155"/>
      <c r="OCG43" s="155"/>
      <c r="OCH43" s="155"/>
      <c r="OCI43" s="155"/>
      <c r="OCJ43" s="155"/>
      <c r="OCK43" s="155"/>
      <c r="OCL43" s="155"/>
      <c r="OCM43" s="155"/>
      <c r="OCN43" s="155"/>
      <c r="OCO43" s="155"/>
      <c r="OCP43" s="155"/>
      <c r="OCQ43" s="155"/>
      <c r="OCR43" s="155"/>
      <c r="OCS43" s="155"/>
      <c r="OCT43" s="155"/>
      <c r="OCU43" s="155"/>
      <c r="OCV43" s="155"/>
      <c r="OCW43" s="155"/>
      <c r="OCX43" s="155"/>
      <c r="OCY43" s="155"/>
      <c r="OCZ43" s="155"/>
      <c r="ODA43" s="155"/>
      <c r="ODB43" s="155"/>
      <c r="ODC43" s="155"/>
      <c r="ODD43" s="155"/>
      <c r="ODE43" s="155"/>
      <c r="ODF43" s="155"/>
      <c r="ODG43" s="155"/>
      <c r="ODH43" s="155"/>
      <c r="ODI43" s="155"/>
      <c r="ODJ43" s="155"/>
      <c r="ODK43" s="155"/>
      <c r="ODL43" s="155"/>
      <c r="ODM43" s="155"/>
      <c r="ODN43" s="155"/>
      <c r="ODO43" s="155"/>
      <c r="ODP43" s="155"/>
      <c r="ODQ43" s="155"/>
      <c r="ODR43" s="155"/>
      <c r="ODS43" s="155"/>
      <c r="ODT43" s="155"/>
      <c r="ODU43" s="155"/>
      <c r="ODV43" s="155"/>
      <c r="ODW43" s="155"/>
      <c r="ODX43" s="155"/>
      <c r="ODY43" s="155"/>
      <c r="ODZ43" s="155"/>
      <c r="OEA43" s="155"/>
      <c r="OEB43" s="155"/>
      <c r="OEC43" s="155"/>
      <c r="OED43" s="155"/>
      <c r="OEE43" s="155"/>
      <c r="OEF43" s="155"/>
      <c r="OEG43" s="155"/>
      <c r="OEH43" s="155"/>
      <c r="OEI43" s="155"/>
      <c r="OEJ43" s="155"/>
      <c r="OEK43" s="155"/>
      <c r="OEL43" s="155"/>
      <c r="OEM43" s="155"/>
      <c r="OEN43" s="155"/>
      <c r="OEO43" s="155"/>
      <c r="OEP43" s="155"/>
      <c r="OEQ43" s="155"/>
      <c r="OER43" s="155"/>
      <c r="OES43" s="155"/>
      <c r="OET43" s="155"/>
      <c r="OEU43" s="155"/>
      <c r="OEV43" s="155"/>
      <c r="OEW43" s="155"/>
      <c r="OEX43" s="155"/>
      <c r="OEY43" s="155"/>
      <c r="OEZ43" s="155"/>
      <c r="OFA43" s="155"/>
      <c r="OFB43" s="155"/>
      <c r="OFC43" s="155"/>
      <c r="OFD43" s="155"/>
      <c r="OFE43" s="155"/>
      <c r="OFF43" s="155"/>
      <c r="OFG43" s="155"/>
      <c r="OFH43" s="155"/>
      <c r="OFI43" s="155"/>
      <c r="OFJ43" s="155"/>
      <c r="OFK43" s="155"/>
      <c r="OFL43" s="155"/>
      <c r="OFM43" s="155"/>
      <c r="OFN43" s="155"/>
      <c r="OFO43" s="155"/>
      <c r="OFP43" s="155"/>
      <c r="OFQ43" s="155"/>
      <c r="OFR43" s="155"/>
      <c r="OFS43" s="155"/>
      <c r="OFT43" s="155"/>
      <c r="OFU43" s="155"/>
      <c r="OFV43" s="155"/>
      <c r="OFW43" s="155"/>
      <c r="OFX43" s="155"/>
      <c r="OFY43" s="155"/>
      <c r="OFZ43" s="155"/>
      <c r="OGA43" s="155"/>
      <c r="OGB43" s="155"/>
      <c r="OGC43" s="155"/>
      <c r="OGD43" s="155"/>
      <c r="OGE43" s="155"/>
      <c r="OGF43" s="155"/>
      <c r="OGG43" s="155"/>
      <c r="OGH43" s="155"/>
      <c r="OGI43" s="155"/>
      <c r="OGJ43" s="155"/>
      <c r="OGK43" s="155"/>
      <c r="OGL43" s="155"/>
      <c r="OGM43" s="155"/>
      <c r="OGN43" s="155"/>
      <c r="OGO43" s="155"/>
      <c r="OGP43" s="155"/>
      <c r="OGQ43" s="155"/>
      <c r="OGR43" s="155"/>
      <c r="OGS43" s="155"/>
      <c r="OGT43" s="155"/>
      <c r="OGU43" s="155"/>
      <c r="OGV43" s="155"/>
      <c r="OGW43" s="155"/>
      <c r="OGX43" s="155"/>
      <c r="OGY43" s="155"/>
      <c r="OGZ43" s="155"/>
      <c r="OHA43" s="155"/>
      <c r="OHB43" s="155"/>
      <c r="OHC43" s="155"/>
      <c r="OHD43" s="155"/>
      <c r="OHE43" s="155"/>
      <c r="OHF43" s="155"/>
      <c r="OHG43" s="155"/>
      <c r="OHH43" s="155"/>
      <c r="OHI43" s="155"/>
      <c r="OHJ43" s="155"/>
      <c r="OHK43" s="155"/>
      <c r="OHL43" s="155"/>
      <c r="OHM43" s="155"/>
      <c r="OHN43" s="155"/>
      <c r="OHO43" s="155"/>
      <c r="OHP43" s="155"/>
      <c r="OHQ43" s="155"/>
      <c r="OHR43" s="155"/>
      <c r="OHS43" s="155"/>
      <c r="OHT43" s="155"/>
      <c r="OHU43" s="155"/>
      <c r="OHV43" s="155"/>
      <c r="OHW43" s="155"/>
      <c r="OHX43" s="155"/>
      <c r="OHY43" s="155"/>
      <c r="OHZ43" s="155"/>
      <c r="OIA43" s="155"/>
      <c r="OIB43" s="155"/>
      <c r="OIC43" s="155"/>
      <c r="OID43" s="155"/>
      <c r="OIE43" s="155"/>
      <c r="OIF43" s="155"/>
      <c r="OIG43" s="155"/>
      <c r="OIH43" s="155"/>
      <c r="OII43" s="155"/>
      <c r="OIJ43" s="155"/>
      <c r="OIK43" s="155"/>
      <c r="OIL43" s="155"/>
      <c r="OIM43" s="155"/>
      <c r="OIN43" s="155"/>
      <c r="OIO43" s="155"/>
      <c r="OIP43" s="155"/>
      <c r="OIQ43" s="155"/>
      <c r="OIR43" s="155"/>
      <c r="OIS43" s="155"/>
      <c r="OIT43" s="155"/>
      <c r="OIU43" s="155"/>
      <c r="OIV43" s="155"/>
      <c r="OIW43" s="155"/>
      <c r="OIX43" s="155"/>
      <c r="OIY43" s="155"/>
      <c r="OIZ43" s="155"/>
      <c r="OJA43" s="155"/>
      <c r="OJB43" s="155"/>
      <c r="OJC43" s="155"/>
      <c r="OJD43" s="155"/>
      <c r="OJE43" s="155"/>
      <c r="OJF43" s="155"/>
      <c r="OJG43" s="155"/>
      <c r="OJH43" s="155"/>
      <c r="OJI43" s="155"/>
      <c r="OJJ43" s="155"/>
      <c r="OJK43" s="155"/>
      <c r="OJL43" s="155"/>
      <c r="OJM43" s="155"/>
      <c r="OJN43" s="155"/>
      <c r="OJO43" s="155"/>
      <c r="OJP43" s="155"/>
      <c r="OJQ43" s="155"/>
      <c r="OJR43" s="155"/>
      <c r="OJS43" s="155"/>
      <c r="OJT43" s="155"/>
      <c r="OJU43" s="155"/>
      <c r="OJV43" s="155"/>
      <c r="OJW43" s="155"/>
      <c r="OJX43" s="155"/>
      <c r="OJY43" s="155"/>
      <c r="OJZ43" s="155"/>
      <c r="OKA43" s="155"/>
      <c r="OKB43" s="155"/>
      <c r="OKC43" s="155"/>
      <c r="OKD43" s="155"/>
      <c r="OKE43" s="155"/>
      <c r="OKF43" s="155"/>
      <c r="OKG43" s="155"/>
      <c r="OKH43" s="155"/>
      <c r="OKI43" s="155"/>
      <c r="OKJ43" s="155"/>
      <c r="OKK43" s="155"/>
      <c r="OKL43" s="155"/>
      <c r="OKM43" s="155"/>
      <c r="OKN43" s="155"/>
      <c r="OKO43" s="155"/>
      <c r="OKP43" s="155"/>
      <c r="OKQ43" s="155"/>
      <c r="OKR43" s="155"/>
      <c r="OKS43" s="155"/>
      <c r="OKT43" s="155"/>
      <c r="OKU43" s="155"/>
      <c r="OKV43" s="155"/>
      <c r="OKW43" s="155"/>
      <c r="OKX43" s="155"/>
      <c r="OKY43" s="155"/>
      <c r="OKZ43" s="155"/>
      <c r="OLA43" s="155"/>
      <c r="OLB43" s="155"/>
      <c r="OLC43" s="155"/>
      <c r="OLD43" s="155"/>
      <c r="OLE43" s="155"/>
      <c r="OLF43" s="155"/>
      <c r="OLG43" s="155"/>
      <c r="OLH43" s="155"/>
      <c r="OLI43" s="155"/>
      <c r="OLJ43" s="155"/>
      <c r="OLK43" s="155"/>
      <c r="OLL43" s="155"/>
      <c r="OLM43" s="155"/>
      <c r="OLN43" s="155"/>
      <c r="OLO43" s="155"/>
      <c r="OLP43" s="155"/>
      <c r="OLQ43" s="155"/>
      <c r="OLR43" s="155"/>
      <c r="OLS43" s="155"/>
      <c r="OLT43" s="155"/>
      <c r="OLU43" s="155"/>
      <c r="OLV43" s="155"/>
      <c r="OLW43" s="155"/>
      <c r="OLX43" s="155"/>
      <c r="OLY43" s="155"/>
      <c r="OLZ43" s="155"/>
      <c r="OMA43" s="155"/>
      <c r="OMB43" s="155"/>
      <c r="OMC43" s="155"/>
      <c r="OMD43" s="155"/>
      <c r="OME43" s="155"/>
      <c r="OMF43" s="155"/>
      <c r="OMG43" s="155"/>
      <c r="OMH43" s="155"/>
      <c r="OMI43" s="155"/>
      <c r="OMJ43" s="155"/>
      <c r="OMK43" s="155"/>
      <c r="OML43" s="155"/>
      <c r="OMM43" s="155"/>
      <c r="OMN43" s="155"/>
      <c r="OMO43" s="155"/>
      <c r="OMP43" s="155"/>
      <c r="OMQ43" s="155"/>
      <c r="OMR43" s="155"/>
      <c r="OMS43" s="155"/>
      <c r="OMT43" s="155"/>
      <c r="OMU43" s="155"/>
      <c r="OMV43" s="155"/>
      <c r="OMW43" s="155"/>
      <c r="OMX43" s="155"/>
      <c r="OMY43" s="155"/>
      <c r="OMZ43" s="155"/>
      <c r="ONA43" s="155"/>
      <c r="ONB43" s="155"/>
      <c r="ONC43" s="155"/>
      <c r="OND43" s="155"/>
      <c r="ONE43" s="155"/>
      <c r="ONF43" s="155"/>
      <c r="ONG43" s="155"/>
      <c r="ONH43" s="155"/>
      <c r="ONI43" s="155"/>
      <c r="ONJ43" s="155"/>
      <c r="ONK43" s="155"/>
      <c r="ONL43" s="155"/>
      <c r="ONM43" s="155"/>
      <c r="ONN43" s="155"/>
      <c r="ONO43" s="155"/>
      <c r="ONP43" s="155"/>
      <c r="ONQ43" s="155"/>
      <c r="ONR43" s="155"/>
      <c r="ONS43" s="155"/>
      <c r="ONT43" s="155"/>
      <c r="ONU43" s="155"/>
      <c r="ONV43" s="155"/>
      <c r="ONW43" s="155"/>
      <c r="ONX43" s="155"/>
      <c r="ONY43" s="155"/>
      <c r="ONZ43" s="155"/>
      <c r="OOA43" s="155"/>
      <c r="OOB43" s="155"/>
      <c r="OOC43" s="155"/>
      <c r="OOD43" s="155"/>
      <c r="OOE43" s="155"/>
      <c r="OOF43" s="155"/>
      <c r="OOG43" s="155"/>
      <c r="OOH43" s="155"/>
      <c r="OOI43" s="155"/>
      <c r="OOJ43" s="155"/>
      <c r="OOK43" s="155"/>
      <c r="OOL43" s="155"/>
      <c r="OOM43" s="155"/>
      <c r="OON43" s="155"/>
      <c r="OOO43" s="155"/>
      <c r="OOP43" s="155"/>
      <c r="OOQ43" s="155"/>
      <c r="OOR43" s="155"/>
      <c r="OOS43" s="155"/>
      <c r="OOT43" s="155"/>
      <c r="OOU43" s="155"/>
      <c r="OOV43" s="155"/>
      <c r="OOW43" s="155"/>
      <c r="OOX43" s="155"/>
      <c r="OOY43" s="155"/>
      <c r="OOZ43" s="155"/>
      <c r="OPA43" s="155"/>
      <c r="OPB43" s="155"/>
      <c r="OPC43" s="155"/>
      <c r="OPD43" s="155"/>
      <c r="OPE43" s="155"/>
      <c r="OPF43" s="155"/>
      <c r="OPG43" s="155"/>
      <c r="OPH43" s="155"/>
      <c r="OPI43" s="155"/>
      <c r="OPJ43" s="155"/>
      <c r="OPK43" s="155"/>
      <c r="OPL43" s="155"/>
      <c r="OPM43" s="155"/>
      <c r="OPN43" s="155"/>
      <c r="OPO43" s="155"/>
      <c r="OPP43" s="155"/>
      <c r="OPQ43" s="155"/>
      <c r="OPR43" s="155"/>
      <c r="OPS43" s="155"/>
      <c r="OPT43" s="155"/>
      <c r="OPU43" s="155"/>
      <c r="OPV43" s="155"/>
      <c r="OPW43" s="155"/>
      <c r="OPX43" s="155"/>
      <c r="OPY43" s="155"/>
      <c r="OPZ43" s="155"/>
      <c r="OQA43" s="155"/>
      <c r="OQB43" s="155"/>
      <c r="OQC43" s="155"/>
      <c r="OQD43" s="155"/>
      <c r="OQE43" s="155"/>
      <c r="OQF43" s="155"/>
      <c r="OQG43" s="155"/>
      <c r="OQH43" s="155"/>
      <c r="OQI43" s="155"/>
      <c r="OQJ43" s="155"/>
      <c r="OQK43" s="155"/>
      <c r="OQL43" s="155"/>
      <c r="OQM43" s="155"/>
      <c r="OQN43" s="155"/>
      <c r="OQO43" s="155"/>
      <c r="OQP43" s="155"/>
      <c r="OQQ43" s="155"/>
      <c r="OQR43" s="155"/>
      <c r="OQS43" s="155"/>
      <c r="OQT43" s="155"/>
      <c r="OQU43" s="155"/>
      <c r="OQV43" s="155"/>
      <c r="OQW43" s="155"/>
      <c r="OQX43" s="155"/>
      <c r="OQY43" s="155"/>
      <c r="OQZ43" s="155"/>
      <c r="ORA43" s="155"/>
      <c r="ORB43" s="155"/>
      <c r="ORC43" s="155"/>
      <c r="ORD43" s="155"/>
      <c r="ORE43" s="155"/>
      <c r="ORF43" s="155"/>
      <c r="ORG43" s="155"/>
      <c r="ORH43" s="155"/>
      <c r="ORI43" s="155"/>
      <c r="ORJ43" s="155"/>
      <c r="ORK43" s="155"/>
      <c r="ORL43" s="155"/>
      <c r="ORM43" s="155"/>
      <c r="ORN43" s="155"/>
      <c r="ORO43" s="155"/>
      <c r="ORP43" s="155"/>
      <c r="ORQ43" s="155"/>
      <c r="ORR43" s="155"/>
      <c r="ORS43" s="155"/>
      <c r="ORT43" s="155"/>
      <c r="ORU43" s="155"/>
      <c r="ORV43" s="155"/>
      <c r="ORW43" s="155"/>
      <c r="ORX43" s="155"/>
      <c r="ORY43" s="155"/>
      <c r="ORZ43" s="155"/>
      <c r="OSA43" s="155"/>
      <c r="OSB43" s="155"/>
      <c r="OSC43" s="155"/>
      <c r="OSD43" s="155"/>
      <c r="OSE43" s="155"/>
      <c r="OSF43" s="155"/>
      <c r="OSG43" s="155"/>
      <c r="OSH43" s="155"/>
      <c r="OSI43" s="155"/>
      <c r="OSJ43" s="155"/>
      <c r="OSK43" s="155"/>
      <c r="OSL43" s="155"/>
      <c r="OSM43" s="155"/>
      <c r="OSN43" s="155"/>
      <c r="OSO43" s="155"/>
      <c r="OSP43" s="155"/>
      <c r="OSQ43" s="155"/>
      <c r="OSR43" s="155"/>
      <c r="OSS43" s="155"/>
      <c r="OST43" s="155"/>
      <c r="OSU43" s="155"/>
      <c r="OSV43" s="155"/>
      <c r="OSW43" s="155"/>
      <c r="OSX43" s="155"/>
      <c r="OSY43" s="155"/>
      <c r="OSZ43" s="155"/>
      <c r="OTA43" s="155"/>
      <c r="OTB43" s="155"/>
      <c r="OTC43" s="155"/>
      <c r="OTD43" s="155"/>
      <c r="OTE43" s="155"/>
      <c r="OTF43" s="155"/>
      <c r="OTG43" s="155"/>
      <c r="OTH43" s="155"/>
      <c r="OTI43" s="155"/>
      <c r="OTJ43" s="155"/>
      <c r="OTK43" s="155"/>
      <c r="OTL43" s="155"/>
      <c r="OTM43" s="155"/>
      <c r="OTN43" s="155"/>
      <c r="OTO43" s="155"/>
      <c r="OTP43" s="155"/>
      <c r="OTQ43" s="155"/>
      <c r="OTR43" s="155"/>
      <c r="OTS43" s="155"/>
      <c r="OTT43" s="155"/>
      <c r="OTU43" s="155"/>
      <c r="OTV43" s="155"/>
      <c r="OTW43" s="155"/>
      <c r="OTX43" s="155"/>
      <c r="OTY43" s="155"/>
      <c r="OTZ43" s="155"/>
      <c r="OUA43" s="155"/>
      <c r="OUB43" s="155"/>
      <c r="OUC43" s="155"/>
      <c r="OUD43" s="155"/>
      <c r="OUE43" s="155"/>
      <c r="OUF43" s="155"/>
      <c r="OUG43" s="155"/>
      <c r="OUH43" s="155"/>
      <c r="OUI43" s="155"/>
      <c r="OUJ43" s="155"/>
      <c r="OUK43" s="155"/>
      <c r="OUL43" s="155"/>
      <c r="OUM43" s="155"/>
      <c r="OUN43" s="155"/>
      <c r="OUO43" s="155"/>
      <c r="OUP43" s="155"/>
      <c r="OUQ43" s="155"/>
      <c r="OUR43" s="155"/>
      <c r="OUS43" s="155"/>
      <c r="OUT43" s="155"/>
      <c r="OUU43" s="155"/>
      <c r="OUV43" s="155"/>
      <c r="OUW43" s="155"/>
      <c r="OUX43" s="155"/>
      <c r="OUY43" s="155"/>
      <c r="OUZ43" s="155"/>
      <c r="OVA43" s="155"/>
      <c r="OVB43" s="155"/>
      <c r="OVC43" s="155"/>
      <c r="OVD43" s="155"/>
      <c r="OVE43" s="155"/>
      <c r="OVF43" s="155"/>
      <c r="OVG43" s="155"/>
      <c r="OVH43" s="155"/>
      <c r="OVI43" s="155"/>
      <c r="OVJ43" s="155"/>
      <c r="OVK43" s="155"/>
      <c r="OVL43" s="155"/>
      <c r="OVM43" s="155"/>
      <c r="OVN43" s="155"/>
      <c r="OVO43" s="155"/>
      <c r="OVP43" s="155"/>
      <c r="OVQ43" s="155"/>
      <c r="OVR43" s="155"/>
      <c r="OVS43" s="155"/>
      <c r="OVT43" s="155"/>
      <c r="OVU43" s="155"/>
      <c r="OVV43" s="155"/>
      <c r="OVW43" s="155"/>
      <c r="OVX43" s="155"/>
      <c r="OVY43" s="155"/>
      <c r="OVZ43" s="155"/>
      <c r="OWA43" s="155"/>
      <c r="OWB43" s="155"/>
      <c r="OWC43" s="155"/>
      <c r="OWD43" s="155"/>
      <c r="OWE43" s="155"/>
      <c r="OWF43" s="155"/>
      <c r="OWG43" s="155"/>
      <c r="OWH43" s="155"/>
      <c r="OWI43" s="155"/>
      <c r="OWJ43" s="155"/>
      <c r="OWK43" s="155"/>
      <c r="OWL43" s="155"/>
      <c r="OWM43" s="155"/>
      <c r="OWN43" s="155"/>
      <c r="OWO43" s="155"/>
      <c r="OWP43" s="155"/>
      <c r="OWQ43" s="155"/>
      <c r="OWR43" s="155"/>
      <c r="OWS43" s="155"/>
      <c r="OWT43" s="155"/>
      <c r="OWU43" s="155"/>
      <c r="OWV43" s="155"/>
      <c r="OWW43" s="155"/>
      <c r="OWX43" s="155"/>
      <c r="OWY43" s="155"/>
      <c r="OWZ43" s="155"/>
      <c r="OXA43" s="155"/>
      <c r="OXB43" s="155"/>
      <c r="OXC43" s="155"/>
      <c r="OXD43" s="155"/>
      <c r="OXE43" s="155"/>
      <c r="OXF43" s="155"/>
      <c r="OXG43" s="155"/>
      <c r="OXH43" s="155"/>
      <c r="OXI43" s="155"/>
      <c r="OXJ43" s="155"/>
      <c r="OXK43" s="155"/>
      <c r="OXL43" s="155"/>
      <c r="OXM43" s="155"/>
      <c r="OXN43" s="155"/>
      <c r="OXO43" s="155"/>
      <c r="OXP43" s="155"/>
      <c r="OXQ43" s="155"/>
      <c r="OXR43" s="155"/>
      <c r="OXS43" s="155"/>
      <c r="OXT43" s="155"/>
      <c r="OXU43" s="155"/>
      <c r="OXV43" s="155"/>
      <c r="OXW43" s="155"/>
      <c r="OXX43" s="155"/>
      <c r="OXY43" s="155"/>
      <c r="OXZ43" s="155"/>
      <c r="OYA43" s="155"/>
      <c r="OYB43" s="155"/>
      <c r="OYC43" s="155"/>
      <c r="OYD43" s="155"/>
      <c r="OYE43" s="155"/>
      <c r="OYF43" s="155"/>
      <c r="OYG43" s="155"/>
      <c r="OYH43" s="155"/>
      <c r="OYI43" s="155"/>
      <c r="OYJ43" s="155"/>
      <c r="OYK43" s="155"/>
      <c r="OYL43" s="155"/>
      <c r="OYM43" s="155"/>
      <c r="OYN43" s="155"/>
      <c r="OYO43" s="155"/>
      <c r="OYP43" s="155"/>
      <c r="OYQ43" s="155"/>
      <c r="OYR43" s="155"/>
      <c r="OYS43" s="155"/>
      <c r="OYT43" s="155"/>
      <c r="OYU43" s="155"/>
      <c r="OYV43" s="155"/>
      <c r="OYW43" s="155"/>
      <c r="OYX43" s="155"/>
      <c r="OYY43" s="155"/>
      <c r="OYZ43" s="155"/>
      <c r="OZA43" s="155"/>
      <c r="OZB43" s="155"/>
      <c r="OZC43" s="155"/>
      <c r="OZD43" s="155"/>
      <c r="OZE43" s="155"/>
      <c r="OZF43" s="155"/>
      <c r="OZG43" s="155"/>
      <c r="OZH43" s="155"/>
      <c r="OZI43" s="155"/>
      <c r="OZJ43" s="155"/>
      <c r="OZK43" s="155"/>
      <c r="OZL43" s="155"/>
      <c r="OZM43" s="155"/>
      <c r="OZN43" s="155"/>
      <c r="OZO43" s="155"/>
      <c r="OZP43" s="155"/>
      <c r="OZQ43" s="155"/>
      <c r="OZR43" s="155"/>
      <c r="OZS43" s="155"/>
      <c r="OZT43" s="155"/>
      <c r="OZU43" s="155"/>
      <c r="OZV43" s="155"/>
      <c r="OZW43" s="155"/>
      <c r="OZX43" s="155"/>
      <c r="OZY43" s="155"/>
      <c r="OZZ43" s="155"/>
      <c r="PAA43" s="155"/>
      <c r="PAB43" s="155"/>
      <c r="PAC43" s="155"/>
      <c r="PAD43" s="155"/>
      <c r="PAE43" s="155"/>
      <c r="PAF43" s="155"/>
      <c r="PAG43" s="155"/>
      <c r="PAH43" s="155"/>
      <c r="PAI43" s="155"/>
      <c r="PAJ43" s="155"/>
      <c r="PAK43" s="155"/>
      <c r="PAL43" s="155"/>
      <c r="PAM43" s="155"/>
      <c r="PAN43" s="155"/>
      <c r="PAO43" s="155"/>
      <c r="PAP43" s="155"/>
      <c r="PAQ43" s="155"/>
      <c r="PAR43" s="155"/>
      <c r="PAS43" s="155"/>
      <c r="PAT43" s="155"/>
      <c r="PAU43" s="155"/>
      <c r="PAV43" s="155"/>
      <c r="PAW43" s="155"/>
      <c r="PAX43" s="155"/>
      <c r="PAY43" s="155"/>
      <c r="PAZ43" s="155"/>
      <c r="PBA43" s="155"/>
      <c r="PBB43" s="155"/>
      <c r="PBC43" s="155"/>
      <c r="PBD43" s="155"/>
      <c r="PBE43" s="155"/>
      <c r="PBF43" s="155"/>
      <c r="PBG43" s="155"/>
      <c r="PBH43" s="155"/>
      <c r="PBI43" s="155"/>
      <c r="PBJ43" s="155"/>
      <c r="PBK43" s="155"/>
      <c r="PBL43" s="155"/>
      <c r="PBM43" s="155"/>
      <c r="PBN43" s="155"/>
      <c r="PBO43" s="155"/>
      <c r="PBP43" s="155"/>
      <c r="PBQ43" s="155"/>
      <c r="PBR43" s="155"/>
      <c r="PBS43" s="155"/>
      <c r="PBT43" s="155"/>
      <c r="PBU43" s="155"/>
      <c r="PBV43" s="155"/>
      <c r="PBW43" s="155"/>
      <c r="PBX43" s="155"/>
      <c r="PBY43" s="155"/>
      <c r="PBZ43" s="155"/>
      <c r="PCA43" s="155"/>
      <c r="PCB43" s="155"/>
      <c r="PCC43" s="155"/>
      <c r="PCD43" s="155"/>
      <c r="PCE43" s="155"/>
      <c r="PCF43" s="155"/>
      <c r="PCG43" s="155"/>
      <c r="PCH43" s="155"/>
      <c r="PCI43" s="155"/>
      <c r="PCJ43" s="155"/>
      <c r="PCK43" s="155"/>
      <c r="PCL43" s="155"/>
      <c r="PCM43" s="155"/>
      <c r="PCN43" s="155"/>
      <c r="PCO43" s="155"/>
      <c r="PCP43" s="155"/>
      <c r="PCQ43" s="155"/>
      <c r="PCR43" s="155"/>
      <c r="PCS43" s="155"/>
      <c r="PCT43" s="155"/>
      <c r="PCU43" s="155"/>
      <c r="PCV43" s="155"/>
      <c r="PCW43" s="155"/>
      <c r="PCX43" s="155"/>
      <c r="PCY43" s="155"/>
      <c r="PCZ43" s="155"/>
      <c r="PDA43" s="155"/>
      <c r="PDB43" s="155"/>
      <c r="PDC43" s="155"/>
      <c r="PDD43" s="155"/>
      <c r="PDE43" s="155"/>
      <c r="PDF43" s="155"/>
      <c r="PDG43" s="155"/>
      <c r="PDH43" s="155"/>
      <c r="PDI43" s="155"/>
      <c r="PDJ43" s="155"/>
      <c r="PDK43" s="155"/>
      <c r="PDL43" s="155"/>
      <c r="PDM43" s="155"/>
      <c r="PDN43" s="155"/>
      <c r="PDO43" s="155"/>
      <c r="PDP43" s="155"/>
      <c r="PDQ43" s="155"/>
      <c r="PDR43" s="155"/>
      <c r="PDS43" s="155"/>
      <c r="PDT43" s="155"/>
      <c r="PDU43" s="155"/>
      <c r="PDV43" s="155"/>
      <c r="PDW43" s="155"/>
      <c r="PDX43" s="155"/>
      <c r="PDY43" s="155"/>
      <c r="PDZ43" s="155"/>
      <c r="PEA43" s="155"/>
      <c r="PEB43" s="155"/>
      <c r="PEC43" s="155"/>
      <c r="PED43" s="155"/>
      <c r="PEE43" s="155"/>
      <c r="PEF43" s="155"/>
      <c r="PEG43" s="155"/>
      <c r="PEH43" s="155"/>
      <c r="PEI43" s="155"/>
      <c r="PEJ43" s="155"/>
      <c r="PEK43" s="155"/>
      <c r="PEL43" s="155"/>
      <c r="PEM43" s="155"/>
      <c r="PEN43" s="155"/>
      <c r="PEO43" s="155"/>
      <c r="PEP43" s="155"/>
      <c r="PEQ43" s="155"/>
      <c r="PER43" s="155"/>
      <c r="PES43" s="155"/>
      <c r="PET43" s="155"/>
      <c r="PEU43" s="155"/>
      <c r="PEV43" s="155"/>
      <c r="PEW43" s="155"/>
      <c r="PEX43" s="155"/>
      <c r="PEY43" s="155"/>
      <c r="PEZ43" s="155"/>
      <c r="PFA43" s="155"/>
      <c r="PFB43" s="155"/>
      <c r="PFC43" s="155"/>
      <c r="PFD43" s="155"/>
      <c r="PFE43" s="155"/>
      <c r="PFF43" s="155"/>
      <c r="PFG43" s="155"/>
      <c r="PFH43" s="155"/>
      <c r="PFI43" s="155"/>
      <c r="PFJ43" s="155"/>
      <c r="PFK43" s="155"/>
      <c r="PFL43" s="155"/>
      <c r="PFM43" s="155"/>
      <c r="PFN43" s="155"/>
      <c r="PFO43" s="155"/>
      <c r="PFP43" s="155"/>
      <c r="PFQ43" s="155"/>
      <c r="PFR43" s="155"/>
      <c r="PFS43" s="155"/>
      <c r="PFT43" s="155"/>
      <c r="PFU43" s="155"/>
      <c r="PFV43" s="155"/>
      <c r="PFW43" s="155"/>
      <c r="PFX43" s="155"/>
      <c r="PFY43" s="155"/>
      <c r="PFZ43" s="155"/>
      <c r="PGA43" s="155"/>
      <c r="PGB43" s="155"/>
      <c r="PGC43" s="155"/>
      <c r="PGD43" s="155"/>
      <c r="PGE43" s="155"/>
      <c r="PGF43" s="155"/>
      <c r="PGG43" s="155"/>
      <c r="PGH43" s="155"/>
      <c r="PGI43" s="155"/>
      <c r="PGJ43" s="155"/>
      <c r="PGK43" s="155"/>
      <c r="PGL43" s="155"/>
      <c r="PGM43" s="155"/>
      <c r="PGN43" s="155"/>
      <c r="PGO43" s="155"/>
      <c r="PGP43" s="155"/>
      <c r="PGQ43" s="155"/>
      <c r="PGR43" s="155"/>
      <c r="PGS43" s="155"/>
      <c r="PGT43" s="155"/>
      <c r="PGU43" s="155"/>
      <c r="PGV43" s="155"/>
      <c r="PGW43" s="155"/>
      <c r="PGX43" s="155"/>
      <c r="PGY43" s="155"/>
      <c r="PGZ43" s="155"/>
      <c r="PHA43" s="155"/>
      <c r="PHB43" s="155"/>
      <c r="PHC43" s="155"/>
      <c r="PHD43" s="155"/>
      <c r="PHE43" s="155"/>
      <c r="PHF43" s="155"/>
      <c r="PHG43" s="155"/>
      <c r="PHH43" s="155"/>
      <c r="PHI43" s="155"/>
      <c r="PHJ43" s="155"/>
      <c r="PHK43" s="155"/>
      <c r="PHL43" s="155"/>
      <c r="PHM43" s="155"/>
      <c r="PHN43" s="155"/>
      <c r="PHO43" s="155"/>
      <c r="PHP43" s="155"/>
      <c r="PHQ43" s="155"/>
      <c r="PHR43" s="155"/>
      <c r="PHS43" s="155"/>
      <c r="PHT43" s="155"/>
      <c r="PHU43" s="155"/>
      <c r="PHV43" s="155"/>
      <c r="PHW43" s="155"/>
      <c r="PHX43" s="155"/>
      <c r="PHY43" s="155"/>
      <c r="PHZ43" s="155"/>
      <c r="PIA43" s="155"/>
      <c r="PIB43" s="155"/>
      <c r="PIC43" s="155"/>
      <c r="PID43" s="155"/>
      <c r="PIE43" s="155"/>
      <c r="PIF43" s="155"/>
      <c r="PIG43" s="155"/>
      <c r="PIH43" s="155"/>
      <c r="PII43" s="155"/>
      <c r="PIJ43" s="155"/>
      <c r="PIK43" s="155"/>
      <c r="PIL43" s="155"/>
      <c r="PIM43" s="155"/>
      <c r="PIN43" s="155"/>
      <c r="PIO43" s="155"/>
      <c r="PIP43" s="155"/>
      <c r="PIQ43" s="155"/>
      <c r="PIR43" s="155"/>
      <c r="PIS43" s="155"/>
      <c r="PIT43" s="155"/>
      <c r="PIU43" s="155"/>
      <c r="PIV43" s="155"/>
      <c r="PIW43" s="155"/>
      <c r="PIX43" s="155"/>
      <c r="PIY43" s="155"/>
      <c r="PIZ43" s="155"/>
      <c r="PJA43" s="155"/>
      <c r="PJB43" s="155"/>
      <c r="PJC43" s="155"/>
      <c r="PJD43" s="155"/>
      <c r="PJE43" s="155"/>
      <c r="PJF43" s="155"/>
      <c r="PJG43" s="155"/>
      <c r="PJH43" s="155"/>
      <c r="PJI43" s="155"/>
      <c r="PJJ43" s="155"/>
      <c r="PJK43" s="155"/>
      <c r="PJL43" s="155"/>
      <c r="PJM43" s="155"/>
      <c r="PJN43" s="155"/>
      <c r="PJO43" s="155"/>
      <c r="PJP43" s="155"/>
      <c r="PJQ43" s="155"/>
      <c r="PJR43" s="155"/>
      <c r="PJS43" s="155"/>
      <c r="PJT43" s="155"/>
      <c r="PJU43" s="155"/>
      <c r="PJV43" s="155"/>
      <c r="PJW43" s="155"/>
      <c r="PJX43" s="155"/>
      <c r="PJY43" s="155"/>
      <c r="PJZ43" s="155"/>
      <c r="PKA43" s="155"/>
      <c r="PKB43" s="155"/>
      <c r="PKC43" s="155"/>
      <c r="PKD43" s="155"/>
      <c r="PKE43" s="155"/>
      <c r="PKF43" s="155"/>
      <c r="PKG43" s="155"/>
      <c r="PKH43" s="155"/>
      <c r="PKI43" s="155"/>
      <c r="PKJ43" s="155"/>
      <c r="PKK43" s="155"/>
      <c r="PKL43" s="155"/>
      <c r="PKM43" s="155"/>
      <c r="PKN43" s="155"/>
      <c r="PKO43" s="155"/>
      <c r="PKP43" s="155"/>
      <c r="PKQ43" s="155"/>
      <c r="PKR43" s="155"/>
      <c r="PKS43" s="155"/>
      <c r="PKT43" s="155"/>
      <c r="PKU43" s="155"/>
      <c r="PKV43" s="155"/>
      <c r="PKW43" s="155"/>
      <c r="PKX43" s="155"/>
      <c r="PKY43" s="155"/>
      <c r="PKZ43" s="155"/>
      <c r="PLA43" s="155"/>
      <c r="PLB43" s="155"/>
      <c r="PLC43" s="155"/>
      <c r="PLD43" s="155"/>
      <c r="PLE43" s="155"/>
      <c r="PLF43" s="155"/>
      <c r="PLG43" s="155"/>
      <c r="PLH43" s="155"/>
      <c r="PLI43" s="155"/>
      <c r="PLJ43" s="155"/>
      <c r="PLK43" s="155"/>
      <c r="PLL43" s="155"/>
      <c r="PLM43" s="155"/>
      <c r="PLN43" s="155"/>
      <c r="PLO43" s="155"/>
      <c r="PLP43" s="155"/>
      <c r="PLQ43" s="155"/>
      <c r="PLR43" s="155"/>
      <c r="PLS43" s="155"/>
      <c r="PLT43" s="155"/>
      <c r="PLU43" s="155"/>
      <c r="PLV43" s="155"/>
      <c r="PLW43" s="155"/>
      <c r="PLX43" s="155"/>
      <c r="PLY43" s="155"/>
      <c r="PLZ43" s="155"/>
      <c r="PMA43" s="155"/>
      <c r="PMB43" s="155"/>
      <c r="PMC43" s="155"/>
      <c r="PMD43" s="155"/>
      <c r="PME43" s="155"/>
      <c r="PMF43" s="155"/>
      <c r="PMG43" s="155"/>
      <c r="PMH43" s="155"/>
      <c r="PMI43" s="155"/>
      <c r="PMJ43" s="155"/>
      <c r="PMK43" s="155"/>
      <c r="PML43" s="155"/>
      <c r="PMM43" s="155"/>
      <c r="PMN43" s="155"/>
      <c r="PMO43" s="155"/>
      <c r="PMP43" s="155"/>
      <c r="PMQ43" s="155"/>
      <c r="PMR43" s="155"/>
      <c r="PMS43" s="155"/>
      <c r="PMT43" s="155"/>
      <c r="PMU43" s="155"/>
      <c r="PMV43" s="155"/>
      <c r="PMW43" s="155"/>
      <c r="PMX43" s="155"/>
      <c r="PMY43" s="155"/>
      <c r="PMZ43" s="155"/>
      <c r="PNA43" s="155"/>
      <c r="PNB43" s="155"/>
      <c r="PNC43" s="155"/>
      <c r="PND43" s="155"/>
      <c r="PNE43" s="155"/>
      <c r="PNF43" s="155"/>
      <c r="PNG43" s="155"/>
      <c r="PNH43" s="155"/>
      <c r="PNI43" s="155"/>
      <c r="PNJ43" s="155"/>
      <c r="PNK43" s="155"/>
      <c r="PNL43" s="155"/>
      <c r="PNM43" s="155"/>
      <c r="PNN43" s="155"/>
      <c r="PNO43" s="155"/>
      <c r="PNP43" s="155"/>
      <c r="PNQ43" s="155"/>
      <c r="PNR43" s="155"/>
      <c r="PNS43" s="155"/>
      <c r="PNT43" s="155"/>
      <c r="PNU43" s="155"/>
      <c r="PNV43" s="155"/>
      <c r="PNW43" s="155"/>
      <c r="PNX43" s="155"/>
      <c r="PNY43" s="155"/>
      <c r="PNZ43" s="155"/>
      <c r="POA43" s="155"/>
      <c r="POB43" s="155"/>
      <c r="POC43" s="155"/>
      <c r="POD43" s="155"/>
      <c r="POE43" s="155"/>
      <c r="POF43" s="155"/>
      <c r="POG43" s="155"/>
      <c r="POH43" s="155"/>
      <c r="POI43" s="155"/>
      <c r="POJ43" s="155"/>
      <c r="POK43" s="155"/>
      <c r="POL43" s="155"/>
      <c r="POM43" s="155"/>
      <c r="PON43" s="155"/>
      <c r="POO43" s="155"/>
      <c r="POP43" s="155"/>
      <c r="POQ43" s="155"/>
      <c r="POR43" s="155"/>
      <c r="POS43" s="155"/>
      <c r="POT43" s="155"/>
      <c r="POU43" s="155"/>
      <c r="POV43" s="155"/>
      <c r="POW43" s="155"/>
      <c r="POX43" s="155"/>
      <c r="POY43" s="155"/>
      <c r="POZ43" s="155"/>
      <c r="PPA43" s="155"/>
      <c r="PPB43" s="155"/>
      <c r="PPC43" s="155"/>
      <c r="PPD43" s="155"/>
      <c r="PPE43" s="155"/>
      <c r="PPF43" s="155"/>
      <c r="PPG43" s="155"/>
      <c r="PPH43" s="155"/>
      <c r="PPI43" s="155"/>
      <c r="PPJ43" s="155"/>
      <c r="PPK43" s="155"/>
      <c r="PPL43" s="155"/>
      <c r="PPM43" s="155"/>
      <c r="PPN43" s="155"/>
      <c r="PPO43" s="155"/>
      <c r="PPP43" s="155"/>
      <c r="PPQ43" s="155"/>
      <c r="PPR43" s="155"/>
      <c r="PPS43" s="155"/>
      <c r="PPT43" s="155"/>
      <c r="PPU43" s="155"/>
      <c r="PPV43" s="155"/>
      <c r="PPW43" s="155"/>
      <c r="PPX43" s="155"/>
      <c r="PPY43" s="155"/>
      <c r="PPZ43" s="155"/>
      <c r="PQA43" s="155"/>
      <c r="PQB43" s="155"/>
      <c r="PQC43" s="155"/>
      <c r="PQD43" s="155"/>
      <c r="PQE43" s="155"/>
      <c r="PQF43" s="155"/>
      <c r="PQG43" s="155"/>
      <c r="PQH43" s="155"/>
      <c r="PQI43" s="155"/>
      <c r="PQJ43" s="155"/>
      <c r="PQK43" s="155"/>
      <c r="PQL43" s="155"/>
      <c r="PQM43" s="155"/>
      <c r="PQN43" s="155"/>
      <c r="PQO43" s="155"/>
      <c r="PQP43" s="155"/>
      <c r="PQQ43" s="155"/>
      <c r="PQR43" s="155"/>
      <c r="PQS43" s="155"/>
      <c r="PQT43" s="155"/>
      <c r="PQU43" s="155"/>
      <c r="PQV43" s="155"/>
      <c r="PQW43" s="155"/>
      <c r="PQX43" s="155"/>
      <c r="PQY43" s="155"/>
      <c r="PQZ43" s="155"/>
      <c r="PRA43" s="155"/>
      <c r="PRB43" s="155"/>
      <c r="PRC43" s="155"/>
      <c r="PRD43" s="155"/>
      <c r="PRE43" s="155"/>
      <c r="PRF43" s="155"/>
      <c r="PRG43" s="155"/>
      <c r="PRH43" s="155"/>
      <c r="PRI43" s="155"/>
      <c r="PRJ43" s="155"/>
      <c r="PRK43" s="155"/>
      <c r="PRL43" s="155"/>
      <c r="PRM43" s="155"/>
      <c r="PRN43" s="155"/>
      <c r="PRO43" s="155"/>
      <c r="PRP43" s="155"/>
      <c r="PRQ43" s="155"/>
      <c r="PRR43" s="155"/>
      <c r="PRS43" s="155"/>
      <c r="PRT43" s="155"/>
      <c r="PRU43" s="155"/>
      <c r="PRV43" s="155"/>
      <c r="PRW43" s="155"/>
      <c r="PRX43" s="155"/>
      <c r="PRY43" s="155"/>
      <c r="PRZ43" s="155"/>
      <c r="PSA43" s="155"/>
      <c r="PSB43" s="155"/>
      <c r="PSC43" s="155"/>
      <c r="PSD43" s="155"/>
      <c r="PSE43" s="155"/>
      <c r="PSF43" s="155"/>
      <c r="PSG43" s="155"/>
      <c r="PSH43" s="155"/>
      <c r="PSI43" s="155"/>
      <c r="PSJ43" s="155"/>
      <c r="PSK43" s="155"/>
      <c r="PSL43" s="155"/>
      <c r="PSM43" s="155"/>
      <c r="PSN43" s="155"/>
      <c r="PSO43" s="155"/>
      <c r="PSP43" s="155"/>
      <c r="PSQ43" s="155"/>
      <c r="PSR43" s="155"/>
      <c r="PSS43" s="155"/>
      <c r="PST43" s="155"/>
      <c r="PSU43" s="155"/>
      <c r="PSV43" s="155"/>
      <c r="PSW43" s="155"/>
      <c r="PSX43" s="155"/>
      <c r="PSY43" s="155"/>
      <c r="PSZ43" s="155"/>
      <c r="PTA43" s="155"/>
      <c r="PTB43" s="155"/>
      <c r="PTC43" s="155"/>
      <c r="PTD43" s="155"/>
      <c r="PTE43" s="155"/>
      <c r="PTF43" s="155"/>
      <c r="PTG43" s="155"/>
      <c r="PTH43" s="155"/>
      <c r="PTI43" s="155"/>
      <c r="PTJ43" s="155"/>
      <c r="PTK43" s="155"/>
      <c r="PTL43" s="155"/>
      <c r="PTM43" s="155"/>
      <c r="PTN43" s="155"/>
      <c r="PTO43" s="155"/>
      <c r="PTP43" s="155"/>
      <c r="PTQ43" s="155"/>
      <c r="PTR43" s="155"/>
      <c r="PTS43" s="155"/>
      <c r="PTT43" s="155"/>
      <c r="PTU43" s="155"/>
      <c r="PTV43" s="155"/>
      <c r="PTW43" s="155"/>
      <c r="PTX43" s="155"/>
      <c r="PTY43" s="155"/>
      <c r="PTZ43" s="155"/>
      <c r="PUA43" s="155"/>
      <c r="PUB43" s="155"/>
      <c r="PUC43" s="155"/>
      <c r="PUD43" s="155"/>
      <c r="PUE43" s="155"/>
      <c r="PUF43" s="155"/>
      <c r="PUG43" s="155"/>
      <c r="PUH43" s="155"/>
      <c r="PUI43" s="155"/>
      <c r="PUJ43" s="155"/>
      <c r="PUK43" s="155"/>
      <c r="PUL43" s="155"/>
      <c r="PUM43" s="155"/>
      <c r="PUN43" s="155"/>
      <c r="PUO43" s="155"/>
      <c r="PUP43" s="155"/>
      <c r="PUQ43" s="155"/>
      <c r="PUR43" s="155"/>
      <c r="PUS43" s="155"/>
      <c r="PUT43" s="155"/>
      <c r="PUU43" s="155"/>
      <c r="PUV43" s="155"/>
      <c r="PUW43" s="155"/>
      <c r="PUX43" s="155"/>
      <c r="PUY43" s="155"/>
      <c r="PUZ43" s="155"/>
      <c r="PVA43" s="155"/>
      <c r="PVB43" s="155"/>
      <c r="PVC43" s="155"/>
      <c r="PVD43" s="155"/>
      <c r="PVE43" s="155"/>
      <c r="PVF43" s="155"/>
      <c r="PVG43" s="155"/>
      <c r="PVH43" s="155"/>
      <c r="PVI43" s="155"/>
      <c r="PVJ43" s="155"/>
      <c r="PVK43" s="155"/>
      <c r="PVL43" s="155"/>
      <c r="PVM43" s="155"/>
      <c r="PVN43" s="155"/>
      <c r="PVO43" s="155"/>
      <c r="PVP43" s="155"/>
      <c r="PVQ43" s="155"/>
      <c r="PVR43" s="155"/>
      <c r="PVS43" s="155"/>
      <c r="PVT43" s="155"/>
      <c r="PVU43" s="155"/>
      <c r="PVV43" s="155"/>
      <c r="PVW43" s="155"/>
      <c r="PVX43" s="155"/>
      <c r="PVY43" s="155"/>
      <c r="PVZ43" s="155"/>
      <c r="PWA43" s="155"/>
      <c r="PWB43" s="155"/>
      <c r="PWC43" s="155"/>
      <c r="PWD43" s="155"/>
      <c r="PWE43" s="155"/>
      <c r="PWF43" s="155"/>
      <c r="PWG43" s="155"/>
      <c r="PWH43" s="155"/>
      <c r="PWI43" s="155"/>
      <c r="PWJ43" s="155"/>
      <c r="PWK43" s="155"/>
      <c r="PWL43" s="155"/>
      <c r="PWM43" s="155"/>
      <c r="PWN43" s="155"/>
      <c r="PWO43" s="155"/>
      <c r="PWP43" s="155"/>
      <c r="PWQ43" s="155"/>
      <c r="PWR43" s="155"/>
      <c r="PWS43" s="155"/>
      <c r="PWT43" s="155"/>
      <c r="PWU43" s="155"/>
      <c r="PWV43" s="155"/>
      <c r="PWW43" s="155"/>
      <c r="PWX43" s="155"/>
      <c r="PWY43" s="155"/>
      <c r="PWZ43" s="155"/>
      <c r="PXA43" s="155"/>
      <c r="PXB43" s="155"/>
      <c r="PXC43" s="155"/>
      <c r="PXD43" s="155"/>
      <c r="PXE43" s="155"/>
      <c r="PXF43" s="155"/>
      <c r="PXG43" s="155"/>
      <c r="PXH43" s="155"/>
      <c r="PXI43" s="155"/>
      <c r="PXJ43" s="155"/>
      <c r="PXK43" s="155"/>
      <c r="PXL43" s="155"/>
      <c r="PXM43" s="155"/>
      <c r="PXN43" s="155"/>
      <c r="PXO43" s="155"/>
      <c r="PXP43" s="155"/>
      <c r="PXQ43" s="155"/>
      <c r="PXR43" s="155"/>
      <c r="PXS43" s="155"/>
      <c r="PXT43" s="155"/>
      <c r="PXU43" s="155"/>
      <c r="PXV43" s="155"/>
      <c r="PXW43" s="155"/>
      <c r="PXX43" s="155"/>
      <c r="PXY43" s="155"/>
      <c r="PXZ43" s="155"/>
      <c r="PYA43" s="155"/>
      <c r="PYB43" s="155"/>
      <c r="PYC43" s="155"/>
      <c r="PYD43" s="155"/>
      <c r="PYE43" s="155"/>
      <c r="PYF43" s="155"/>
      <c r="PYG43" s="155"/>
      <c r="PYH43" s="155"/>
      <c r="PYI43" s="155"/>
      <c r="PYJ43" s="155"/>
      <c r="PYK43" s="155"/>
      <c r="PYL43" s="155"/>
      <c r="PYM43" s="155"/>
      <c r="PYN43" s="155"/>
      <c r="PYO43" s="155"/>
      <c r="PYP43" s="155"/>
      <c r="PYQ43" s="155"/>
      <c r="PYR43" s="155"/>
      <c r="PYS43" s="155"/>
      <c r="PYT43" s="155"/>
      <c r="PYU43" s="155"/>
      <c r="PYV43" s="155"/>
      <c r="PYW43" s="155"/>
      <c r="PYX43" s="155"/>
      <c r="PYY43" s="155"/>
      <c r="PYZ43" s="155"/>
      <c r="PZA43" s="155"/>
      <c r="PZB43" s="155"/>
      <c r="PZC43" s="155"/>
      <c r="PZD43" s="155"/>
      <c r="PZE43" s="155"/>
      <c r="PZF43" s="155"/>
      <c r="PZG43" s="155"/>
      <c r="PZH43" s="155"/>
      <c r="PZI43" s="155"/>
      <c r="PZJ43" s="155"/>
      <c r="PZK43" s="155"/>
      <c r="PZL43" s="155"/>
      <c r="PZM43" s="155"/>
      <c r="PZN43" s="155"/>
      <c r="PZO43" s="155"/>
      <c r="PZP43" s="155"/>
      <c r="PZQ43" s="155"/>
      <c r="PZR43" s="155"/>
      <c r="PZS43" s="155"/>
      <c r="PZT43" s="155"/>
      <c r="PZU43" s="155"/>
      <c r="PZV43" s="155"/>
      <c r="PZW43" s="155"/>
      <c r="PZX43" s="155"/>
      <c r="PZY43" s="155"/>
      <c r="PZZ43" s="155"/>
      <c r="QAA43" s="155"/>
      <c r="QAB43" s="155"/>
      <c r="QAC43" s="155"/>
      <c r="QAD43" s="155"/>
      <c r="QAE43" s="155"/>
      <c r="QAF43" s="155"/>
      <c r="QAG43" s="155"/>
      <c r="QAH43" s="155"/>
      <c r="QAI43" s="155"/>
      <c r="QAJ43" s="155"/>
      <c r="QAK43" s="155"/>
      <c r="QAL43" s="155"/>
      <c r="QAM43" s="155"/>
      <c r="QAN43" s="155"/>
      <c r="QAO43" s="155"/>
      <c r="QAP43" s="155"/>
      <c r="QAQ43" s="155"/>
      <c r="QAR43" s="155"/>
      <c r="QAS43" s="155"/>
      <c r="QAT43" s="155"/>
      <c r="QAU43" s="155"/>
      <c r="QAV43" s="155"/>
      <c r="QAW43" s="155"/>
      <c r="QAX43" s="155"/>
      <c r="QAY43" s="155"/>
      <c r="QAZ43" s="155"/>
      <c r="QBA43" s="155"/>
      <c r="QBB43" s="155"/>
      <c r="QBC43" s="155"/>
      <c r="QBD43" s="155"/>
      <c r="QBE43" s="155"/>
      <c r="QBF43" s="155"/>
      <c r="QBG43" s="155"/>
      <c r="QBH43" s="155"/>
      <c r="QBI43" s="155"/>
      <c r="QBJ43" s="155"/>
      <c r="QBK43" s="155"/>
      <c r="QBL43" s="155"/>
      <c r="QBM43" s="155"/>
      <c r="QBN43" s="155"/>
      <c r="QBO43" s="155"/>
      <c r="QBP43" s="155"/>
      <c r="QBQ43" s="155"/>
      <c r="QBR43" s="155"/>
      <c r="QBS43" s="155"/>
      <c r="QBT43" s="155"/>
      <c r="QBU43" s="155"/>
      <c r="QBV43" s="155"/>
      <c r="QBW43" s="155"/>
      <c r="QBX43" s="155"/>
      <c r="QBY43" s="155"/>
      <c r="QBZ43" s="155"/>
      <c r="QCA43" s="155"/>
      <c r="QCB43" s="155"/>
      <c r="QCC43" s="155"/>
      <c r="QCD43" s="155"/>
      <c r="QCE43" s="155"/>
      <c r="QCF43" s="155"/>
      <c r="QCG43" s="155"/>
      <c r="QCH43" s="155"/>
      <c r="QCI43" s="155"/>
      <c r="QCJ43" s="155"/>
      <c r="QCK43" s="155"/>
      <c r="QCL43" s="155"/>
      <c r="QCM43" s="155"/>
      <c r="QCN43" s="155"/>
      <c r="QCO43" s="155"/>
      <c r="QCP43" s="155"/>
      <c r="QCQ43" s="155"/>
      <c r="QCR43" s="155"/>
      <c r="QCS43" s="155"/>
      <c r="QCT43" s="155"/>
      <c r="QCU43" s="155"/>
      <c r="QCV43" s="155"/>
      <c r="QCW43" s="155"/>
      <c r="QCX43" s="155"/>
      <c r="QCY43" s="155"/>
      <c r="QCZ43" s="155"/>
      <c r="QDA43" s="155"/>
      <c r="QDB43" s="155"/>
      <c r="QDC43" s="155"/>
      <c r="QDD43" s="155"/>
      <c r="QDE43" s="155"/>
      <c r="QDF43" s="155"/>
      <c r="QDG43" s="155"/>
      <c r="QDH43" s="155"/>
      <c r="QDI43" s="155"/>
      <c r="QDJ43" s="155"/>
      <c r="QDK43" s="155"/>
      <c r="QDL43" s="155"/>
      <c r="QDM43" s="155"/>
      <c r="QDN43" s="155"/>
      <c r="QDO43" s="155"/>
      <c r="QDP43" s="155"/>
      <c r="QDQ43" s="155"/>
      <c r="QDR43" s="155"/>
      <c r="QDS43" s="155"/>
      <c r="QDT43" s="155"/>
      <c r="QDU43" s="155"/>
      <c r="QDV43" s="155"/>
      <c r="QDW43" s="155"/>
      <c r="QDX43" s="155"/>
      <c r="QDY43" s="155"/>
      <c r="QDZ43" s="155"/>
      <c r="QEA43" s="155"/>
      <c r="QEB43" s="155"/>
      <c r="QEC43" s="155"/>
      <c r="QED43" s="155"/>
      <c r="QEE43" s="155"/>
      <c r="QEF43" s="155"/>
      <c r="QEG43" s="155"/>
      <c r="QEH43" s="155"/>
      <c r="QEI43" s="155"/>
      <c r="QEJ43" s="155"/>
      <c r="QEK43" s="155"/>
      <c r="QEL43" s="155"/>
      <c r="QEM43" s="155"/>
      <c r="QEN43" s="155"/>
      <c r="QEO43" s="155"/>
      <c r="QEP43" s="155"/>
      <c r="QEQ43" s="155"/>
      <c r="QER43" s="155"/>
      <c r="QES43" s="155"/>
      <c r="QET43" s="155"/>
      <c r="QEU43" s="155"/>
      <c r="QEV43" s="155"/>
      <c r="QEW43" s="155"/>
      <c r="QEX43" s="155"/>
      <c r="QEY43" s="155"/>
      <c r="QEZ43" s="155"/>
      <c r="QFA43" s="155"/>
      <c r="QFB43" s="155"/>
      <c r="QFC43" s="155"/>
      <c r="QFD43" s="155"/>
      <c r="QFE43" s="155"/>
      <c r="QFF43" s="155"/>
      <c r="QFG43" s="155"/>
      <c r="QFH43" s="155"/>
      <c r="QFI43" s="155"/>
      <c r="QFJ43" s="155"/>
      <c r="QFK43" s="155"/>
      <c r="QFL43" s="155"/>
      <c r="QFM43" s="155"/>
      <c r="QFN43" s="155"/>
      <c r="QFO43" s="155"/>
      <c r="QFP43" s="155"/>
      <c r="QFQ43" s="155"/>
      <c r="QFR43" s="155"/>
      <c r="QFS43" s="155"/>
      <c r="QFT43" s="155"/>
      <c r="QFU43" s="155"/>
      <c r="QFV43" s="155"/>
      <c r="QFW43" s="155"/>
      <c r="QFX43" s="155"/>
      <c r="QFY43" s="155"/>
      <c r="QFZ43" s="155"/>
      <c r="QGA43" s="155"/>
      <c r="QGB43" s="155"/>
      <c r="QGC43" s="155"/>
      <c r="QGD43" s="155"/>
      <c r="QGE43" s="155"/>
      <c r="QGF43" s="155"/>
      <c r="QGG43" s="155"/>
      <c r="QGH43" s="155"/>
      <c r="QGI43" s="155"/>
      <c r="QGJ43" s="155"/>
      <c r="QGK43" s="155"/>
      <c r="QGL43" s="155"/>
      <c r="QGM43" s="155"/>
      <c r="QGN43" s="155"/>
      <c r="QGO43" s="155"/>
      <c r="QGP43" s="155"/>
      <c r="QGQ43" s="155"/>
      <c r="QGR43" s="155"/>
      <c r="QGS43" s="155"/>
      <c r="QGT43" s="155"/>
      <c r="QGU43" s="155"/>
      <c r="QGV43" s="155"/>
      <c r="QGW43" s="155"/>
      <c r="QGX43" s="155"/>
      <c r="QGY43" s="155"/>
      <c r="QGZ43" s="155"/>
      <c r="QHA43" s="155"/>
      <c r="QHB43" s="155"/>
      <c r="QHC43" s="155"/>
      <c r="QHD43" s="155"/>
      <c r="QHE43" s="155"/>
      <c r="QHF43" s="155"/>
      <c r="QHG43" s="155"/>
      <c r="QHH43" s="155"/>
      <c r="QHI43" s="155"/>
      <c r="QHJ43" s="155"/>
      <c r="QHK43" s="155"/>
      <c r="QHL43" s="155"/>
      <c r="QHM43" s="155"/>
      <c r="QHN43" s="155"/>
      <c r="QHO43" s="155"/>
      <c r="QHP43" s="155"/>
      <c r="QHQ43" s="155"/>
      <c r="QHR43" s="155"/>
      <c r="QHS43" s="155"/>
      <c r="QHT43" s="155"/>
      <c r="QHU43" s="155"/>
      <c r="QHV43" s="155"/>
      <c r="QHW43" s="155"/>
      <c r="QHX43" s="155"/>
      <c r="QHY43" s="155"/>
      <c r="QHZ43" s="155"/>
      <c r="QIA43" s="155"/>
      <c r="QIB43" s="155"/>
      <c r="QIC43" s="155"/>
      <c r="QID43" s="155"/>
      <c r="QIE43" s="155"/>
      <c r="QIF43" s="155"/>
      <c r="QIG43" s="155"/>
      <c r="QIH43" s="155"/>
      <c r="QII43" s="155"/>
      <c r="QIJ43" s="155"/>
      <c r="QIK43" s="155"/>
      <c r="QIL43" s="155"/>
      <c r="QIM43" s="155"/>
      <c r="QIN43" s="155"/>
      <c r="QIO43" s="155"/>
      <c r="QIP43" s="155"/>
      <c r="QIQ43" s="155"/>
      <c r="QIR43" s="155"/>
      <c r="QIS43" s="155"/>
      <c r="QIT43" s="155"/>
      <c r="QIU43" s="155"/>
      <c r="QIV43" s="155"/>
      <c r="QIW43" s="155"/>
      <c r="QIX43" s="155"/>
      <c r="QIY43" s="155"/>
      <c r="QIZ43" s="155"/>
      <c r="QJA43" s="155"/>
      <c r="QJB43" s="155"/>
      <c r="QJC43" s="155"/>
      <c r="QJD43" s="155"/>
      <c r="QJE43" s="155"/>
      <c r="QJF43" s="155"/>
      <c r="QJG43" s="155"/>
      <c r="QJH43" s="155"/>
      <c r="QJI43" s="155"/>
      <c r="QJJ43" s="155"/>
      <c r="QJK43" s="155"/>
      <c r="QJL43" s="155"/>
      <c r="QJM43" s="155"/>
      <c r="QJN43" s="155"/>
      <c r="QJO43" s="155"/>
      <c r="QJP43" s="155"/>
      <c r="QJQ43" s="155"/>
      <c r="QJR43" s="155"/>
      <c r="QJS43" s="155"/>
      <c r="QJT43" s="155"/>
      <c r="QJU43" s="155"/>
      <c r="QJV43" s="155"/>
      <c r="QJW43" s="155"/>
      <c r="QJX43" s="155"/>
      <c r="QJY43" s="155"/>
      <c r="QJZ43" s="155"/>
      <c r="QKA43" s="155"/>
      <c r="QKB43" s="155"/>
      <c r="QKC43" s="155"/>
      <c r="QKD43" s="155"/>
      <c r="QKE43" s="155"/>
      <c r="QKF43" s="155"/>
      <c r="QKG43" s="155"/>
      <c r="QKH43" s="155"/>
      <c r="QKI43" s="155"/>
      <c r="QKJ43" s="155"/>
      <c r="QKK43" s="155"/>
      <c r="QKL43" s="155"/>
      <c r="QKM43" s="155"/>
      <c r="QKN43" s="155"/>
      <c r="QKO43" s="155"/>
      <c r="QKP43" s="155"/>
      <c r="QKQ43" s="155"/>
      <c r="QKR43" s="155"/>
      <c r="QKS43" s="155"/>
      <c r="QKT43" s="155"/>
      <c r="QKU43" s="155"/>
      <c r="QKV43" s="155"/>
      <c r="QKW43" s="155"/>
      <c r="QKX43" s="155"/>
      <c r="QKY43" s="155"/>
      <c r="QKZ43" s="155"/>
      <c r="QLA43" s="155"/>
      <c r="QLB43" s="155"/>
      <c r="QLC43" s="155"/>
      <c r="QLD43" s="155"/>
      <c r="QLE43" s="155"/>
      <c r="QLF43" s="155"/>
      <c r="QLG43" s="155"/>
      <c r="QLH43" s="155"/>
      <c r="QLI43" s="155"/>
      <c r="QLJ43" s="155"/>
      <c r="QLK43" s="155"/>
      <c r="QLL43" s="155"/>
      <c r="QLM43" s="155"/>
      <c r="QLN43" s="155"/>
      <c r="QLO43" s="155"/>
      <c r="QLP43" s="155"/>
      <c r="QLQ43" s="155"/>
      <c r="QLR43" s="155"/>
      <c r="QLS43" s="155"/>
      <c r="QLT43" s="155"/>
      <c r="QLU43" s="155"/>
      <c r="QLV43" s="155"/>
      <c r="QLW43" s="155"/>
      <c r="QLX43" s="155"/>
      <c r="QLY43" s="155"/>
      <c r="QLZ43" s="155"/>
      <c r="QMA43" s="155"/>
      <c r="QMB43" s="155"/>
      <c r="QMC43" s="155"/>
      <c r="QMD43" s="155"/>
      <c r="QME43" s="155"/>
      <c r="QMF43" s="155"/>
      <c r="QMG43" s="155"/>
      <c r="QMH43" s="155"/>
      <c r="QMI43" s="155"/>
      <c r="QMJ43" s="155"/>
      <c r="QMK43" s="155"/>
      <c r="QML43" s="155"/>
      <c r="QMM43" s="155"/>
      <c r="QMN43" s="155"/>
      <c r="QMO43" s="155"/>
      <c r="QMP43" s="155"/>
      <c r="QMQ43" s="155"/>
      <c r="QMR43" s="155"/>
      <c r="QMS43" s="155"/>
      <c r="QMT43" s="155"/>
      <c r="QMU43" s="155"/>
      <c r="QMV43" s="155"/>
      <c r="QMW43" s="155"/>
      <c r="QMX43" s="155"/>
      <c r="QMY43" s="155"/>
      <c r="QMZ43" s="155"/>
      <c r="QNA43" s="155"/>
      <c r="QNB43" s="155"/>
      <c r="QNC43" s="155"/>
      <c r="QND43" s="155"/>
      <c r="QNE43" s="155"/>
      <c r="QNF43" s="155"/>
      <c r="QNG43" s="155"/>
      <c r="QNH43" s="155"/>
      <c r="QNI43" s="155"/>
      <c r="QNJ43" s="155"/>
      <c r="QNK43" s="155"/>
      <c r="QNL43" s="155"/>
      <c r="QNM43" s="155"/>
      <c r="QNN43" s="155"/>
      <c r="QNO43" s="155"/>
      <c r="QNP43" s="155"/>
      <c r="QNQ43" s="155"/>
      <c r="QNR43" s="155"/>
      <c r="QNS43" s="155"/>
      <c r="QNT43" s="155"/>
      <c r="QNU43" s="155"/>
      <c r="QNV43" s="155"/>
      <c r="QNW43" s="155"/>
      <c r="QNX43" s="155"/>
      <c r="QNY43" s="155"/>
      <c r="QNZ43" s="155"/>
      <c r="QOA43" s="155"/>
      <c r="QOB43" s="155"/>
      <c r="QOC43" s="155"/>
      <c r="QOD43" s="155"/>
      <c r="QOE43" s="155"/>
      <c r="QOF43" s="155"/>
      <c r="QOG43" s="155"/>
      <c r="QOH43" s="155"/>
      <c r="QOI43" s="155"/>
      <c r="QOJ43" s="155"/>
      <c r="QOK43" s="155"/>
      <c r="QOL43" s="155"/>
      <c r="QOM43" s="155"/>
      <c r="QON43" s="155"/>
      <c r="QOO43" s="155"/>
      <c r="QOP43" s="155"/>
      <c r="QOQ43" s="155"/>
      <c r="QOR43" s="155"/>
      <c r="QOS43" s="155"/>
      <c r="QOT43" s="155"/>
      <c r="QOU43" s="155"/>
      <c r="QOV43" s="155"/>
      <c r="QOW43" s="155"/>
      <c r="QOX43" s="155"/>
      <c r="QOY43" s="155"/>
      <c r="QOZ43" s="155"/>
      <c r="QPA43" s="155"/>
      <c r="QPB43" s="155"/>
      <c r="QPC43" s="155"/>
      <c r="QPD43" s="155"/>
      <c r="QPE43" s="155"/>
      <c r="QPF43" s="155"/>
      <c r="QPG43" s="155"/>
      <c r="QPH43" s="155"/>
      <c r="QPI43" s="155"/>
      <c r="QPJ43" s="155"/>
      <c r="QPK43" s="155"/>
      <c r="QPL43" s="155"/>
      <c r="QPM43" s="155"/>
      <c r="QPN43" s="155"/>
      <c r="QPO43" s="155"/>
      <c r="QPP43" s="155"/>
      <c r="QPQ43" s="155"/>
      <c r="QPR43" s="155"/>
      <c r="QPS43" s="155"/>
      <c r="QPT43" s="155"/>
      <c r="QPU43" s="155"/>
      <c r="QPV43" s="155"/>
      <c r="QPW43" s="155"/>
      <c r="QPX43" s="155"/>
      <c r="QPY43" s="155"/>
      <c r="QPZ43" s="155"/>
      <c r="QQA43" s="155"/>
      <c r="QQB43" s="155"/>
      <c r="QQC43" s="155"/>
      <c r="QQD43" s="155"/>
      <c r="QQE43" s="155"/>
      <c r="QQF43" s="155"/>
      <c r="QQG43" s="155"/>
      <c r="QQH43" s="155"/>
      <c r="QQI43" s="155"/>
      <c r="QQJ43" s="155"/>
      <c r="QQK43" s="155"/>
      <c r="QQL43" s="155"/>
      <c r="QQM43" s="155"/>
      <c r="QQN43" s="155"/>
      <c r="QQO43" s="155"/>
      <c r="QQP43" s="155"/>
      <c r="QQQ43" s="155"/>
      <c r="QQR43" s="155"/>
      <c r="QQS43" s="155"/>
      <c r="QQT43" s="155"/>
      <c r="QQU43" s="155"/>
      <c r="QQV43" s="155"/>
      <c r="QQW43" s="155"/>
      <c r="QQX43" s="155"/>
      <c r="QQY43" s="155"/>
      <c r="QQZ43" s="155"/>
      <c r="QRA43" s="155"/>
      <c r="QRB43" s="155"/>
      <c r="QRC43" s="155"/>
      <c r="QRD43" s="155"/>
      <c r="QRE43" s="155"/>
      <c r="QRF43" s="155"/>
      <c r="QRG43" s="155"/>
      <c r="QRH43" s="155"/>
      <c r="QRI43" s="155"/>
      <c r="QRJ43" s="155"/>
      <c r="QRK43" s="155"/>
      <c r="QRL43" s="155"/>
      <c r="QRM43" s="155"/>
      <c r="QRN43" s="155"/>
      <c r="QRO43" s="155"/>
      <c r="QRP43" s="155"/>
      <c r="QRQ43" s="155"/>
      <c r="QRR43" s="155"/>
      <c r="QRS43" s="155"/>
      <c r="QRT43" s="155"/>
      <c r="QRU43" s="155"/>
      <c r="QRV43" s="155"/>
      <c r="QRW43" s="155"/>
      <c r="QRX43" s="155"/>
      <c r="QRY43" s="155"/>
      <c r="QRZ43" s="155"/>
      <c r="QSA43" s="155"/>
      <c r="QSB43" s="155"/>
      <c r="QSC43" s="155"/>
      <c r="QSD43" s="155"/>
      <c r="QSE43" s="155"/>
      <c r="QSF43" s="155"/>
      <c r="QSG43" s="155"/>
      <c r="QSH43" s="155"/>
      <c r="QSI43" s="155"/>
      <c r="QSJ43" s="155"/>
      <c r="QSK43" s="155"/>
      <c r="QSL43" s="155"/>
      <c r="QSM43" s="155"/>
      <c r="QSN43" s="155"/>
      <c r="QSO43" s="155"/>
      <c r="QSP43" s="155"/>
      <c r="QSQ43" s="155"/>
      <c r="QSR43" s="155"/>
      <c r="QSS43" s="155"/>
      <c r="QST43" s="155"/>
      <c r="QSU43" s="155"/>
      <c r="QSV43" s="155"/>
      <c r="QSW43" s="155"/>
      <c r="QSX43" s="155"/>
      <c r="QSY43" s="155"/>
      <c r="QSZ43" s="155"/>
      <c r="QTA43" s="155"/>
      <c r="QTB43" s="155"/>
      <c r="QTC43" s="155"/>
      <c r="QTD43" s="155"/>
      <c r="QTE43" s="155"/>
      <c r="QTF43" s="155"/>
      <c r="QTG43" s="155"/>
      <c r="QTH43" s="155"/>
      <c r="QTI43" s="155"/>
      <c r="QTJ43" s="155"/>
      <c r="QTK43" s="155"/>
      <c r="QTL43" s="155"/>
      <c r="QTM43" s="155"/>
      <c r="QTN43" s="155"/>
      <c r="QTO43" s="155"/>
      <c r="QTP43" s="155"/>
      <c r="QTQ43" s="155"/>
      <c r="QTR43" s="155"/>
      <c r="QTS43" s="155"/>
      <c r="QTT43" s="155"/>
      <c r="QTU43" s="155"/>
      <c r="QTV43" s="155"/>
      <c r="QTW43" s="155"/>
      <c r="QTX43" s="155"/>
      <c r="QTY43" s="155"/>
      <c r="QTZ43" s="155"/>
      <c r="QUA43" s="155"/>
      <c r="QUB43" s="155"/>
      <c r="QUC43" s="155"/>
      <c r="QUD43" s="155"/>
      <c r="QUE43" s="155"/>
      <c r="QUF43" s="155"/>
      <c r="QUG43" s="155"/>
      <c r="QUH43" s="155"/>
      <c r="QUI43" s="155"/>
      <c r="QUJ43" s="155"/>
      <c r="QUK43" s="155"/>
      <c r="QUL43" s="155"/>
      <c r="QUM43" s="155"/>
      <c r="QUN43" s="155"/>
      <c r="QUO43" s="155"/>
      <c r="QUP43" s="155"/>
      <c r="QUQ43" s="155"/>
      <c r="QUR43" s="155"/>
      <c r="QUS43" s="155"/>
      <c r="QUT43" s="155"/>
      <c r="QUU43" s="155"/>
      <c r="QUV43" s="155"/>
      <c r="QUW43" s="155"/>
      <c r="QUX43" s="155"/>
      <c r="QUY43" s="155"/>
      <c r="QUZ43" s="155"/>
      <c r="QVA43" s="155"/>
      <c r="QVB43" s="155"/>
      <c r="QVC43" s="155"/>
      <c r="QVD43" s="155"/>
      <c r="QVE43" s="155"/>
      <c r="QVF43" s="155"/>
      <c r="QVG43" s="155"/>
      <c r="QVH43" s="155"/>
      <c r="QVI43" s="155"/>
      <c r="QVJ43" s="155"/>
      <c r="QVK43" s="155"/>
      <c r="QVL43" s="155"/>
      <c r="QVM43" s="155"/>
      <c r="QVN43" s="155"/>
      <c r="QVO43" s="155"/>
      <c r="QVP43" s="155"/>
      <c r="QVQ43" s="155"/>
      <c r="QVR43" s="155"/>
      <c r="QVS43" s="155"/>
      <c r="QVT43" s="155"/>
      <c r="QVU43" s="155"/>
      <c r="QVV43" s="155"/>
      <c r="QVW43" s="155"/>
      <c r="QVX43" s="155"/>
      <c r="QVY43" s="155"/>
      <c r="QVZ43" s="155"/>
      <c r="QWA43" s="155"/>
      <c r="QWB43" s="155"/>
      <c r="QWC43" s="155"/>
      <c r="QWD43" s="155"/>
      <c r="QWE43" s="155"/>
      <c r="QWF43" s="155"/>
      <c r="QWG43" s="155"/>
      <c r="QWH43" s="155"/>
      <c r="QWI43" s="155"/>
      <c r="QWJ43" s="155"/>
      <c r="QWK43" s="155"/>
      <c r="QWL43" s="155"/>
      <c r="QWM43" s="155"/>
      <c r="QWN43" s="155"/>
      <c r="QWO43" s="155"/>
      <c r="QWP43" s="155"/>
      <c r="QWQ43" s="155"/>
      <c r="QWR43" s="155"/>
      <c r="QWS43" s="155"/>
      <c r="QWT43" s="155"/>
      <c r="QWU43" s="155"/>
      <c r="QWV43" s="155"/>
      <c r="QWW43" s="155"/>
      <c r="QWX43" s="155"/>
      <c r="QWY43" s="155"/>
      <c r="QWZ43" s="155"/>
      <c r="QXA43" s="155"/>
      <c r="QXB43" s="155"/>
      <c r="QXC43" s="155"/>
      <c r="QXD43" s="155"/>
      <c r="QXE43" s="155"/>
      <c r="QXF43" s="155"/>
      <c r="QXG43" s="155"/>
      <c r="QXH43" s="155"/>
      <c r="QXI43" s="155"/>
      <c r="QXJ43" s="155"/>
      <c r="QXK43" s="155"/>
      <c r="QXL43" s="155"/>
      <c r="QXM43" s="155"/>
      <c r="QXN43" s="155"/>
      <c r="QXO43" s="155"/>
      <c r="QXP43" s="155"/>
      <c r="QXQ43" s="155"/>
      <c r="QXR43" s="155"/>
      <c r="QXS43" s="155"/>
      <c r="QXT43" s="155"/>
      <c r="QXU43" s="155"/>
      <c r="QXV43" s="155"/>
      <c r="QXW43" s="155"/>
      <c r="QXX43" s="155"/>
      <c r="QXY43" s="155"/>
      <c r="QXZ43" s="155"/>
      <c r="QYA43" s="155"/>
      <c r="QYB43" s="155"/>
      <c r="QYC43" s="155"/>
      <c r="QYD43" s="155"/>
      <c r="QYE43" s="155"/>
      <c r="QYF43" s="155"/>
      <c r="QYG43" s="155"/>
      <c r="QYH43" s="155"/>
      <c r="QYI43" s="155"/>
      <c r="QYJ43" s="155"/>
      <c r="QYK43" s="155"/>
      <c r="QYL43" s="155"/>
      <c r="QYM43" s="155"/>
      <c r="QYN43" s="155"/>
      <c r="QYO43" s="155"/>
      <c r="QYP43" s="155"/>
      <c r="QYQ43" s="155"/>
      <c r="QYR43" s="155"/>
      <c r="QYS43" s="155"/>
      <c r="QYT43" s="155"/>
      <c r="QYU43" s="155"/>
      <c r="QYV43" s="155"/>
      <c r="QYW43" s="155"/>
      <c r="QYX43" s="155"/>
      <c r="QYY43" s="155"/>
      <c r="QYZ43" s="155"/>
      <c r="QZA43" s="155"/>
      <c r="QZB43" s="155"/>
      <c r="QZC43" s="155"/>
      <c r="QZD43" s="155"/>
      <c r="QZE43" s="155"/>
      <c r="QZF43" s="155"/>
      <c r="QZG43" s="155"/>
      <c r="QZH43" s="155"/>
      <c r="QZI43" s="155"/>
      <c r="QZJ43" s="155"/>
      <c r="QZK43" s="155"/>
      <c r="QZL43" s="155"/>
      <c r="QZM43" s="155"/>
      <c r="QZN43" s="155"/>
      <c r="QZO43" s="155"/>
      <c r="QZP43" s="155"/>
      <c r="QZQ43" s="155"/>
      <c r="QZR43" s="155"/>
      <c r="QZS43" s="155"/>
      <c r="QZT43" s="155"/>
      <c r="QZU43" s="155"/>
      <c r="QZV43" s="155"/>
      <c r="QZW43" s="155"/>
      <c r="QZX43" s="155"/>
      <c r="QZY43" s="155"/>
      <c r="QZZ43" s="155"/>
      <c r="RAA43" s="155"/>
      <c r="RAB43" s="155"/>
      <c r="RAC43" s="155"/>
      <c r="RAD43" s="155"/>
      <c r="RAE43" s="155"/>
      <c r="RAF43" s="155"/>
      <c r="RAG43" s="155"/>
      <c r="RAH43" s="155"/>
      <c r="RAI43" s="155"/>
      <c r="RAJ43" s="155"/>
      <c r="RAK43" s="155"/>
      <c r="RAL43" s="155"/>
      <c r="RAM43" s="155"/>
      <c r="RAN43" s="155"/>
      <c r="RAO43" s="155"/>
      <c r="RAP43" s="155"/>
      <c r="RAQ43" s="155"/>
      <c r="RAR43" s="155"/>
      <c r="RAS43" s="155"/>
      <c r="RAT43" s="155"/>
      <c r="RAU43" s="155"/>
      <c r="RAV43" s="155"/>
      <c r="RAW43" s="155"/>
      <c r="RAX43" s="155"/>
      <c r="RAY43" s="155"/>
      <c r="RAZ43" s="155"/>
      <c r="RBA43" s="155"/>
      <c r="RBB43" s="155"/>
      <c r="RBC43" s="155"/>
      <c r="RBD43" s="155"/>
      <c r="RBE43" s="155"/>
      <c r="RBF43" s="155"/>
      <c r="RBG43" s="155"/>
      <c r="RBH43" s="155"/>
      <c r="RBI43" s="155"/>
      <c r="RBJ43" s="155"/>
      <c r="RBK43" s="155"/>
      <c r="RBL43" s="155"/>
      <c r="RBM43" s="155"/>
      <c r="RBN43" s="155"/>
      <c r="RBO43" s="155"/>
      <c r="RBP43" s="155"/>
      <c r="RBQ43" s="155"/>
      <c r="RBR43" s="155"/>
      <c r="RBS43" s="155"/>
      <c r="RBT43" s="155"/>
      <c r="RBU43" s="155"/>
      <c r="RBV43" s="155"/>
      <c r="RBW43" s="155"/>
      <c r="RBX43" s="155"/>
      <c r="RBY43" s="155"/>
      <c r="RBZ43" s="155"/>
      <c r="RCA43" s="155"/>
      <c r="RCB43" s="155"/>
      <c r="RCC43" s="155"/>
      <c r="RCD43" s="155"/>
      <c r="RCE43" s="155"/>
      <c r="RCF43" s="155"/>
      <c r="RCG43" s="155"/>
      <c r="RCH43" s="155"/>
      <c r="RCI43" s="155"/>
      <c r="RCJ43" s="155"/>
      <c r="RCK43" s="155"/>
      <c r="RCL43" s="155"/>
      <c r="RCM43" s="155"/>
      <c r="RCN43" s="155"/>
      <c r="RCO43" s="155"/>
      <c r="RCP43" s="155"/>
      <c r="RCQ43" s="155"/>
      <c r="RCR43" s="155"/>
      <c r="RCS43" s="155"/>
      <c r="RCT43" s="155"/>
      <c r="RCU43" s="155"/>
      <c r="RCV43" s="155"/>
      <c r="RCW43" s="155"/>
      <c r="RCX43" s="155"/>
      <c r="RCY43" s="155"/>
      <c r="RCZ43" s="155"/>
      <c r="RDA43" s="155"/>
      <c r="RDB43" s="155"/>
      <c r="RDC43" s="155"/>
      <c r="RDD43" s="155"/>
      <c r="RDE43" s="155"/>
      <c r="RDF43" s="155"/>
      <c r="RDG43" s="155"/>
      <c r="RDH43" s="155"/>
      <c r="RDI43" s="155"/>
      <c r="RDJ43" s="155"/>
      <c r="RDK43" s="155"/>
      <c r="RDL43" s="155"/>
      <c r="RDM43" s="155"/>
      <c r="RDN43" s="155"/>
      <c r="RDO43" s="155"/>
      <c r="RDP43" s="155"/>
      <c r="RDQ43" s="155"/>
      <c r="RDR43" s="155"/>
      <c r="RDS43" s="155"/>
      <c r="RDT43" s="155"/>
      <c r="RDU43" s="155"/>
      <c r="RDV43" s="155"/>
      <c r="RDW43" s="155"/>
      <c r="RDX43" s="155"/>
      <c r="RDY43" s="155"/>
      <c r="RDZ43" s="155"/>
      <c r="REA43" s="155"/>
      <c r="REB43" s="155"/>
      <c r="REC43" s="155"/>
      <c r="RED43" s="155"/>
      <c r="REE43" s="155"/>
      <c r="REF43" s="155"/>
      <c r="REG43" s="155"/>
      <c r="REH43" s="155"/>
      <c r="REI43" s="155"/>
      <c r="REJ43" s="155"/>
      <c r="REK43" s="155"/>
      <c r="REL43" s="155"/>
      <c r="REM43" s="155"/>
      <c r="REN43" s="155"/>
      <c r="REO43" s="155"/>
      <c r="REP43" s="155"/>
      <c r="REQ43" s="155"/>
      <c r="RER43" s="155"/>
      <c r="RES43" s="155"/>
      <c r="RET43" s="155"/>
      <c r="REU43" s="155"/>
      <c r="REV43" s="155"/>
      <c r="REW43" s="155"/>
      <c r="REX43" s="155"/>
      <c r="REY43" s="155"/>
      <c r="REZ43" s="155"/>
      <c r="RFA43" s="155"/>
      <c r="RFB43" s="155"/>
      <c r="RFC43" s="155"/>
      <c r="RFD43" s="155"/>
      <c r="RFE43" s="155"/>
      <c r="RFF43" s="155"/>
      <c r="RFG43" s="155"/>
      <c r="RFH43" s="155"/>
      <c r="RFI43" s="155"/>
      <c r="RFJ43" s="155"/>
      <c r="RFK43" s="155"/>
      <c r="RFL43" s="155"/>
      <c r="RFM43" s="155"/>
      <c r="RFN43" s="155"/>
      <c r="RFO43" s="155"/>
      <c r="RFP43" s="155"/>
      <c r="RFQ43" s="155"/>
      <c r="RFR43" s="155"/>
      <c r="RFS43" s="155"/>
      <c r="RFT43" s="155"/>
      <c r="RFU43" s="155"/>
      <c r="RFV43" s="155"/>
      <c r="RFW43" s="155"/>
      <c r="RFX43" s="155"/>
      <c r="RFY43" s="155"/>
      <c r="RFZ43" s="155"/>
      <c r="RGA43" s="155"/>
      <c r="RGB43" s="155"/>
      <c r="RGC43" s="155"/>
      <c r="RGD43" s="155"/>
      <c r="RGE43" s="155"/>
      <c r="RGF43" s="155"/>
      <c r="RGG43" s="155"/>
      <c r="RGH43" s="155"/>
      <c r="RGI43" s="155"/>
      <c r="RGJ43" s="155"/>
      <c r="RGK43" s="155"/>
      <c r="RGL43" s="155"/>
      <c r="RGM43" s="155"/>
      <c r="RGN43" s="155"/>
      <c r="RGO43" s="155"/>
      <c r="RGP43" s="155"/>
      <c r="RGQ43" s="155"/>
      <c r="RGR43" s="155"/>
      <c r="RGS43" s="155"/>
      <c r="RGT43" s="155"/>
      <c r="RGU43" s="155"/>
      <c r="RGV43" s="155"/>
      <c r="RGW43" s="155"/>
      <c r="RGX43" s="155"/>
      <c r="RGY43" s="155"/>
      <c r="RGZ43" s="155"/>
      <c r="RHA43" s="155"/>
      <c r="RHB43" s="155"/>
      <c r="RHC43" s="155"/>
      <c r="RHD43" s="155"/>
      <c r="RHE43" s="155"/>
      <c r="RHF43" s="155"/>
      <c r="RHG43" s="155"/>
      <c r="RHH43" s="155"/>
      <c r="RHI43" s="155"/>
      <c r="RHJ43" s="155"/>
      <c r="RHK43" s="155"/>
      <c r="RHL43" s="155"/>
      <c r="RHM43" s="155"/>
      <c r="RHN43" s="155"/>
      <c r="RHO43" s="155"/>
      <c r="RHP43" s="155"/>
      <c r="RHQ43" s="155"/>
      <c r="RHR43" s="155"/>
      <c r="RHS43" s="155"/>
      <c r="RHT43" s="155"/>
      <c r="RHU43" s="155"/>
      <c r="RHV43" s="155"/>
      <c r="RHW43" s="155"/>
      <c r="RHX43" s="155"/>
      <c r="RHY43" s="155"/>
      <c r="RHZ43" s="155"/>
      <c r="RIA43" s="155"/>
      <c r="RIB43" s="155"/>
      <c r="RIC43" s="155"/>
      <c r="RID43" s="155"/>
      <c r="RIE43" s="155"/>
      <c r="RIF43" s="155"/>
      <c r="RIG43" s="155"/>
      <c r="RIH43" s="155"/>
      <c r="RII43" s="155"/>
      <c r="RIJ43" s="155"/>
      <c r="RIK43" s="155"/>
      <c r="RIL43" s="155"/>
      <c r="RIM43" s="155"/>
      <c r="RIN43" s="155"/>
      <c r="RIO43" s="155"/>
      <c r="RIP43" s="155"/>
      <c r="RIQ43" s="155"/>
      <c r="RIR43" s="155"/>
      <c r="RIS43" s="155"/>
      <c r="RIT43" s="155"/>
      <c r="RIU43" s="155"/>
      <c r="RIV43" s="155"/>
      <c r="RIW43" s="155"/>
      <c r="RIX43" s="155"/>
      <c r="RIY43" s="155"/>
      <c r="RIZ43" s="155"/>
      <c r="RJA43" s="155"/>
      <c r="RJB43" s="155"/>
      <c r="RJC43" s="155"/>
      <c r="RJD43" s="155"/>
      <c r="RJE43" s="155"/>
      <c r="RJF43" s="155"/>
      <c r="RJG43" s="155"/>
      <c r="RJH43" s="155"/>
      <c r="RJI43" s="155"/>
      <c r="RJJ43" s="155"/>
      <c r="RJK43" s="155"/>
      <c r="RJL43" s="155"/>
      <c r="RJM43" s="155"/>
      <c r="RJN43" s="155"/>
      <c r="RJO43" s="155"/>
      <c r="RJP43" s="155"/>
      <c r="RJQ43" s="155"/>
      <c r="RJR43" s="155"/>
      <c r="RJS43" s="155"/>
      <c r="RJT43" s="155"/>
      <c r="RJU43" s="155"/>
      <c r="RJV43" s="155"/>
      <c r="RJW43" s="155"/>
      <c r="RJX43" s="155"/>
      <c r="RJY43" s="155"/>
      <c r="RJZ43" s="155"/>
      <c r="RKA43" s="155"/>
      <c r="RKB43" s="155"/>
      <c r="RKC43" s="155"/>
      <c r="RKD43" s="155"/>
      <c r="RKE43" s="155"/>
      <c r="RKF43" s="155"/>
      <c r="RKG43" s="155"/>
      <c r="RKH43" s="155"/>
      <c r="RKI43" s="155"/>
      <c r="RKJ43" s="155"/>
      <c r="RKK43" s="155"/>
      <c r="RKL43" s="155"/>
      <c r="RKM43" s="155"/>
      <c r="RKN43" s="155"/>
      <c r="RKO43" s="155"/>
      <c r="RKP43" s="155"/>
      <c r="RKQ43" s="155"/>
      <c r="RKR43" s="155"/>
      <c r="RKS43" s="155"/>
      <c r="RKT43" s="155"/>
      <c r="RKU43" s="155"/>
      <c r="RKV43" s="155"/>
      <c r="RKW43" s="155"/>
      <c r="RKX43" s="155"/>
      <c r="RKY43" s="155"/>
      <c r="RKZ43" s="155"/>
      <c r="RLA43" s="155"/>
      <c r="RLB43" s="155"/>
      <c r="RLC43" s="155"/>
      <c r="RLD43" s="155"/>
      <c r="RLE43" s="155"/>
      <c r="RLF43" s="155"/>
      <c r="RLG43" s="155"/>
      <c r="RLH43" s="155"/>
      <c r="RLI43" s="155"/>
      <c r="RLJ43" s="155"/>
      <c r="RLK43" s="155"/>
      <c r="RLL43" s="155"/>
      <c r="RLM43" s="155"/>
      <c r="RLN43" s="155"/>
      <c r="RLO43" s="155"/>
      <c r="RLP43" s="155"/>
      <c r="RLQ43" s="155"/>
      <c r="RLR43" s="155"/>
      <c r="RLS43" s="155"/>
      <c r="RLT43" s="155"/>
      <c r="RLU43" s="155"/>
      <c r="RLV43" s="155"/>
      <c r="RLW43" s="155"/>
      <c r="RLX43" s="155"/>
      <c r="RLY43" s="155"/>
      <c r="RLZ43" s="155"/>
      <c r="RMA43" s="155"/>
      <c r="RMB43" s="155"/>
      <c r="RMC43" s="155"/>
      <c r="RMD43" s="155"/>
      <c r="RME43" s="155"/>
      <c r="RMF43" s="155"/>
      <c r="RMG43" s="155"/>
      <c r="RMH43" s="155"/>
      <c r="RMI43" s="155"/>
      <c r="RMJ43" s="155"/>
      <c r="RMK43" s="155"/>
      <c r="RML43" s="155"/>
      <c r="RMM43" s="155"/>
      <c r="RMN43" s="155"/>
      <c r="RMO43" s="155"/>
      <c r="RMP43" s="155"/>
      <c r="RMQ43" s="155"/>
      <c r="RMR43" s="155"/>
      <c r="RMS43" s="155"/>
      <c r="RMT43" s="155"/>
      <c r="RMU43" s="155"/>
      <c r="RMV43" s="155"/>
      <c r="RMW43" s="155"/>
      <c r="RMX43" s="155"/>
      <c r="RMY43" s="155"/>
      <c r="RMZ43" s="155"/>
      <c r="RNA43" s="155"/>
      <c r="RNB43" s="155"/>
      <c r="RNC43" s="155"/>
      <c r="RND43" s="155"/>
      <c r="RNE43" s="155"/>
      <c r="RNF43" s="155"/>
      <c r="RNG43" s="155"/>
      <c r="RNH43" s="155"/>
      <c r="RNI43" s="155"/>
      <c r="RNJ43" s="155"/>
      <c r="RNK43" s="155"/>
      <c r="RNL43" s="155"/>
      <c r="RNM43" s="155"/>
      <c r="RNN43" s="155"/>
      <c r="RNO43" s="155"/>
      <c r="RNP43" s="155"/>
      <c r="RNQ43" s="155"/>
      <c r="RNR43" s="155"/>
      <c r="RNS43" s="155"/>
      <c r="RNT43" s="155"/>
      <c r="RNU43" s="155"/>
      <c r="RNV43" s="155"/>
      <c r="RNW43" s="155"/>
      <c r="RNX43" s="155"/>
      <c r="RNY43" s="155"/>
      <c r="RNZ43" s="155"/>
      <c r="ROA43" s="155"/>
      <c r="ROB43" s="155"/>
      <c r="ROC43" s="155"/>
      <c r="ROD43" s="155"/>
      <c r="ROE43" s="155"/>
      <c r="ROF43" s="155"/>
      <c r="ROG43" s="155"/>
      <c r="ROH43" s="155"/>
      <c r="ROI43" s="155"/>
      <c r="ROJ43" s="155"/>
      <c r="ROK43" s="155"/>
      <c r="ROL43" s="155"/>
      <c r="ROM43" s="155"/>
      <c r="RON43" s="155"/>
      <c r="ROO43" s="155"/>
      <c r="ROP43" s="155"/>
      <c r="ROQ43" s="155"/>
      <c r="ROR43" s="155"/>
      <c r="ROS43" s="155"/>
      <c r="ROT43" s="155"/>
      <c r="ROU43" s="155"/>
      <c r="ROV43" s="155"/>
      <c r="ROW43" s="155"/>
      <c r="ROX43" s="155"/>
      <c r="ROY43" s="155"/>
      <c r="ROZ43" s="155"/>
      <c r="RPA43" s="155"/>
      <c r="RPB43" s="155"/>
      <c r="RPC43" s="155"/>
      <c r="RPD43" s="155"/>
      <c r="RPE43" s="155"/>
      <c r="RPF43" s="155"/>
      <c r="RPG43" s="155"/>
      <c r="RPH43" s="155"/>
      <c r="RPI43" s="155"/>
      <c r="RPJ43" s="155"/>
      <c r="RPK43" s="155"/>
      <c r="RPL43" s="155"/>
      <c r="RPM43" s="155"/>
      <c r="RPN43" s="155"/>
      <c r="RPO43" s="155"/>
      <c r="RPP43" s="155"/>
      <c r="RPQ43" s="155"/>
      <c r="RPR43" s="155"/>
      <c r="RPS43" s="155"/>
      <c r="RPT43" s="155"/>
      <c r="RPU43" s="155"/>
      <c r="RPV43" s="155"/>
      <c r="RPW43" s="155"/>
      <c r="RPX43" s="155"/>
      <c r="RPY43" s="155"/>
      <c r="RPZ43" s="155"/>
      <c r="RQA43" s="155"/>
      <c r="RQB43" s="155"/>
      <c r="RQC43" s="155"/>
      <c r="RQD43" s="155"/>
      <c r="RQE43" s="155"/>
      <c r="RQF43" s="155"/>
      <c r="RQG43" s="155"/>
      <c r="RQH43" s="155"/>
      <c r="RQI43" s="155"/>
      <c r="RQJ43" s="155"/>
      <c r="RQK43" s="155"/>
      <c r="RQL43" s="155"/>
      <c r="RQM43" s="155"/>
      <c r="RQN43" s="155"/>
      <c r="RQO43" s="155"/>
      <c r="RQP43" s="155"/>
      <c r="RQQ43" s="155"/>
      <c r="RQR43" s="155"/>
      <c r="RQS43" s="155"/>
      <c r="RQT43" s="155"/>
      <c r="RQU43" s="155"/>
      <c r="RQV43" s="155"/>
      <c r="RQW43" s="155"/>
      <c r="RQX43" s="155"/>
      <c r="RQY43" s="155"/>
      <c r="RQZ43" s="155"/>
      <c r="RRA43" s="155"/>
      <c r="RRB43" s="155"/>
      <c r="RRC43" s="155"/>
      <c r="RRD43" s="155"/>
      <c r="RRE43" s="155"/>
      <c r="RRF43" s="155"/>
      <c r="RRG43" s="155"/>
      <c r="RRH43" s="155"/>
      <c r="RRI43" s="155"/>
      <c r="RRJ43" s="155"/>
      <c r="RRK43" s="155"/>
      <c r="RRL43" s="155"/>
      <c r="RRM43" s="155"/>
      <c r="RRN43" s="155"/>
      <c r="RRO43" s="155"/>
      <c r="RRP43" s="155"/>
      <c r="RRQ43" s="155"/>
      <c r="RRR43" s="155"/>
      <c r="RRS43" s="155"/>
      <c r="RRT43" s="155"/>
      <c r="RRU43" s="155"/>
      <c r="RRV43" s="155"/>
      <c r="RRW43" s="155"/>
      <c r="RRX43" s="155"/>
      <c r="RRY43" s="155"/>
      <c r="RRZ43" s="155"/>
      <c r="RSA43" s="155"/>
      <c r="RSB43" s="155"/>
      <c r="RSC43" s="155"/>
      <c r="RSD43" s="155"/>
      <c r="RSE43" s="155"/>
      <c r="RSF43" s="155"/>
      <c r="RSG43" s="155"/>
      <c r="RSH43" s="155"/>
      <c r="RSI43" s="155"/>
      <c r="RSJ43" s="155"/>
      <c r="RSK43" s="155"/>
      <c r="RSL43" s="155"/>
      <c r="RSM43" s="155"/>
      <c r="RSN43" s="155"/>
      <c r="RSO43" s="155"/>
      <c r="RSP43" s="155"/>
      <c r="RSQ43" s="155"/>
      <c r="RSR43" s="155"/>
      <c r="RSS43" s="155"/>
      <c r="RST43" s="155"/>
      <c r="RSU43" s="155"/>
      <c r="RSV43" s="155"/>
      <c r="RSW43" s="155"/>
      <c r="RSX43" s="155"/>
      <c r="RSY43" s="155"/>
      <c r="RSZ43" s="155"/>
      <c r="RTA43" s="155"/>
      <c r="RTB43" s="155"/>
      <c r="RTC43" s="155"/>
      <c r="RTD43" s="155"/>
      <c r="RTE43" s="155"/>
      <c r="RTF43" s="155"/>
      <c r="RTG43" s="155"/>
      <c r="RTH43" s="155"/>
      <c r="RTI43" s="155"/>
      <c r="RTJ43" s="155"/>
      <c r="RTK43" s="155"/>
      <c r="RTL43" s="155"/>
      <c r="RTM43" s="155"/>
      <c r="RTN43" s="155"/>
      <c r="RTO43" s="155"/>
      <c r="RTP43" s="155"/>
      <c r="RTQ43" s="155"/>
      <c r="RTR43" s="155"/>
      <c r="RTS43" s="155"/>
      <c r="RTT43" s="155"/>
      <c r="RTU43" s="155"/>
      <c r="RTV43" s="155"/>
      <c r="RTW43" s="155"/>
      <c r="RTX43" s="155"/>
      <c r="RTY43" s="155"/>
      <c r="RTZ43" s="155"/>
      <c r="RUA43" s="155"/>
      <c r="RUB43" s="155"/>
      <c r="RUC43" s="155"/>
      <c r="RUD43" s="155"/>
      <c r="RUE43" s="155"/>
      <c r="RUF43" s="155"/>
      <c r="RUG43" s="155"/>
      <c r="RUH43" s="155"/>
      <c r="RUI43" s="155"/>
      <c r="RUJ43" s="155"/>
      <c r="RUK43" s="155"/>
      <c r="RUL43" s="155"/>
      <c r="RUM43" s="155"/>
      <c r="RUN43" s="155"/>
      <c r="RUO43" s="155"/>
      <c r="RUP43" s="155"/>
      <c r="RUQ43" s="155"/>
      <c r="RUR43" s="155"/>
      <c r="RUS43" s="155"/>
      <c r="RUT43" s="155"/>
      <c r="RUU43" s="155"/>
      <c r="RUV43" s="155"/>
      <c r="RUW43" s="155"/>
      <c r="RUX43" s="155"/>
      <c r="RUY43" s="155"/>
      <c r="RUZ43" s="155"/>
      <c r="RVA43" s="155"/>
      <c r="RVB43" s="155"/>
      <c r="RVC43" s="155"/>
      <c r="RVD43" s="155"/>
      <c r="RVE43" s="155"/>
      <c r="RVF43" s="155"/>
      <c r="RVG43" s="155"/>
      <c r="RVH43" s="155"/>
      <c r="RVI43" s="155"/>
      <c r="RVJ43" s="155"/>
      <c r="RVK43" s="155"/>
      <c r="RVL43" s="155"/>
      <c r="RVM43" s="155"/>
      <c r="RVN43" s="155"/>
      <c r="RVO43" s="155"/>
      <c r="RVP43" s="155"/>
      <c r="RVQ43" s="155"/>
      <c r="RVR43" s="155"/>
      <c r="RVS43" s="155"/>
      <c r="RVT43" s="155"/>
      <c r="RVU43" s="155"/>
      <c r="RVV43" s="155"/>
      <c r="RVW43" s="155"/>
      <c r="RVX43" s="155"/>
      <c r="RVY43" s="155"/>
      <c r="RVZ43" s="155"/>
      <c r="RWA43" s="155"/>
      <c r="RWB43" s="155"/>
      <c r="RWC43" s="155"/>
      <c r="RWD43" s="155"/>
      <c r="RWE43" s="155"/>
      <c r="RWF43" s="155"/>
      <c r="RWG43" s="155"/>
      <c r="RWH43" s="155"/>
      <c r="RWI43" s="155"/>
      <c r="RWJ43" s="155"/>
      <c r="RWK43" s="155"/>
      <c r="RWL43" s="155"/>
      <c r="RWM43" s="155"/>
      <c r="RWN43" s="155"/>
      <c r="RWO43" s="155"/>
      <c r="RWP43" s="155"/>
      <c r="RWQ43" s="155"/>
      <c r="RWR43" s="155"/>
      <c r="RWS43" s="155"/>
      <c r="RWT43" s="155"/>
      <c r="RWU43" s="155"/>
      <c r="RWV43" s="155"/>
      <c r="RWW43" s="155"/>
      <c r="RWX43" s="155"/>
      <c r="RWY43" s="155"/>
      <c r="RWZ43" s="155"/>
      <c r="RXA43" s="155"/>
      <c r="RXB43" s="155"/>
      <c r="RXC43" s="155"/>
      <c r="RXD43" s="155"/>
      <c r="RXE43" s="155"/>
      <c r="RXF43" s="155"/>
      <c r="RXG43" s="155"/>
      <c r="RXH43" s="155"/>
      <c r="RXI43" s="155"/>
      <c r="RXJ43" s="155"/>
      <c r="RXK43" s="155"/>
      <c r="RXL43" s="155"/>
      <c r="RXM43" s="155"/>
      <c r="RXN43" s="155"/>
      <c r="RXO43" s="155"/>
      <c r="RXP43" s="155"/>
      <c r="RXQ43" s="155"/>
      <c r="RXR43" s="155"/>
      <c r="RXS43" s="155"/>
      <c r="RXT43" s="155"/>
      <c r="RXU43" s="155"/>
      <c r="RXV43" s="155"/>
      <c r="RXW43" s="155"/>
      <c r="RXX43" s="155"/>
      <c r="RXY43" s="155"/>
      <c r="RXZ43" s="155"/>
      <c r="RYA43" s="155"/>
      <c r="RYB43" s="155"/>
      <c r="RYC43" s="155"/>
      <c r="RYD43" s="155"/>
      <c r="RYE43" s="155"/>
      <c r="RYF43" s="155"/>
      <c r="RYG43" s="155"/>
      <c r="RYH43" s="155"/>
      <c r="RYI43" s="155"/>
      <c r="RYJ43" s="155"/>
      <c r="RYK43" s="155"/>
      <c r="RYL43" s="155"/>
      <c r="RYM43" s="155"/>
      <c r="RYN43" s="155"/>
      <c r="RYO43" s="155"/>
      <c r="RYP43" s="155"/>
      <c r="RYQ43" s="155"/>
      <c r="RYR43" s="155"/>
      <c r="RYS43" s="155"/>
      <c r="RYT43" s="155"/>
      <c r="RYU43" s="155"/>
      <c r="RYV43" s="155"/>
      <c r="RYW43" s="155"/>
      <c r="RYX43" s="155"/>
      <c r="RYY43" s="155"/>
      <c r="RYZ43" s="155"/>
      <c r="RZA43" s="155"/>
      <c r="RZB43" s="155"/>
      <c r="RZC43" s="155"/>
      <c r="RZD43" s="155"/>
      <c r="RZE43" s="155"/>
      <c r="RZF43" s="155"/>
      <c r="RZG43" s="155"/>
      <c r="RZH43" s="155"/>
      <c r="RZI43" s="155"/>
      <c r="RZJ43" s="155"/>
      <c r="RZK43" s="155"/>
      <c r="RZL43" s="155"/>
      <c r="RZM43" s="155"/>
      <c r="RZN43" s="155"/>
      <c r="RZO43" s="155"/>
      <c r="RZP43" s="155"/>
      <c r="RZQ43" s="155"/>
      <c r="RZR43" s="155"/>
      <c r="RZS43" s="155"/>
      <c r="RZT43" s="155"/>
      <c r="RZU43" s="155"/>
      <c r="RZV43" s="155"/>
      <c r="RZW43" s="155"/>
      <c r="RZX43" s="155"/>
      <c r="RZY43" s="155"/>
      <c r="RZZ43" s="155"/>
      <c r="SAA43" s="155"/>
      <c r="SAB43" s="155"/>
      <c r="SAC43" s="155"/>
      <c r="SAD43" s="155"/>
      <c r="SAE43" s="155"/>
      <c r="SAF43" s="155"/>
      <c r="SAG43" s="155"/>
      <c r="SAH43" s="155"/>
      <c r="SAI43" s="155"/>
      <c r="SAJ43" s="155"/>
      <c r="SAK43" s="155"/>
      <c r="SAL43" s="155"/>
      <c r="SAM43" s="155"/>
      <c r="SAN43" s="155"/>
      <c r="SAO43" s="155"/>
      <c r="SAP43" s="155"/>
      <c r="SAQ43" s="155"/>
      <c r="SAR43" s="155"/>
      <c r="SAS43" s="155"/>
      <c r="SAT43" s="155"/>
      <c r="SAU43" s="155"/>
      <c r="SAV43" s="155"/>
      <c r="SAW43" s="155"/>
      <c r="SAX43" s="155"/>
      <c r="SAY43" s="155"/>
      <c r="SAZ43" s="155"/>
      <c r="SBA43" s="155"/>
      <c r="SBB43" s="155"/>
      <c r="SBC43" s="155"/>
      <c r="SBD43" s="155"/>
      <c r="SBE43" s="155"/>
      <c r="SBF43" s="155"/>
      <c r="SBG43" s="155"/>
      <c r="SBH43" s="155"/>
      <c r="SBI43" s="155"/>
      <c r="SBJ43" s="155"/>
      <c r="SBK43" s="155"/>
      <c r="SBL43" s="155"/>
      <c r="SBM43" s="155"/>
      <c r="SBN43" s="155"/>
      <c r="SBO43" s="155"/>
      <c r="SBP43" s="155"/>
      <c r="SBQ43" s="155"/>
      <c r="SBR43" s="155"/>
      <c r="SBS43" s="155"/>
      <c r="SBT43" s="155"/>
      <c r="SBU43" s="155"/>
      <c r="SBV43" s="155"/>
      <c r="SBW43" s="155"/>
      <c r="SBX43" s="155"/>
      <c r="SBY43" s="155"/>
      <c r="SBZ43" s="155"/>
      <c r="SCA43" s="155"/>
      <c r="SCB43" s="155"/>
      <c r="SCC43" s="155"/>
      <c r="SCD43" s="155"/>
      <c r="SCE43" s="155"/>
      <c r="SCF43" s="155"/>
      <c r="SCG43" s="155"/>
      <c r="SCH43" s="155"/>
      <c r="SCI43" s="155"/>
      <c r="SCJ43" s="155"/>
      <c r="SCK43" s="155"/>
      <c r="SCL43" s="155"/>
      <c r="SCM43" s="155"/>
      <c r="SCN43" s="155"/>
      <c r="SCO43" s="155"/>
      <c r="SCP43" s="155"/>
      <c r="SCQ43" s="155"/>
      <c r="SCR43" s="155"/>
      <c r="SCS43" s="155"/>
      <c r="SCT43" s="155"/>
      <c r="SCU43" s="155"/>
      <c r="SCV43" s="155"/>
      <c r="SCW43" s="155"/>
      <c r="SCX43" s="155"/>
      <c r="SCY43" s="155"/>
      <c r="SCZ43" s="155"/>
      <c r="SDA43" s="155"/>
      <c r="SDB43" s="155"/>
      <c r="SDC43" s="155"/>
      <c r="SDD43" s="155"/>
      <c r="SDE43" s="155"/>
      <c r="SDF43" s="155"/>
      <c r="SDG43" s="155"/>
      <c r="SDH43" s="155"/>
      <c r="SDI43" s="155"/>
      <c r="SDJ43" s="155"/>
      <c r="SDK43" s="155"/>
      <c r="SDL43" s="155"/>
      <c r="SDM43" s="155"/>
      <c r="SDN43" s="155"/>
      <c r="SDO43" s="155"/>
      <c r="SDP43" s="155"/>
      <c r="SDQ43" s="155"/>
      <c r="SDR43" s="155"/>
      <c r="SDS43" s="155"/>
      <c r="SDT43" s="155"/>
      <c r="SDU43" s="155"/>
      <c r="SDV43" s="155"/>
      <c r="SDW43" s="155"/>
      <c r="SDX43" s="155"/>
      <c r="SDY43" s="155"/>
      <c r="SDZ43" s="155"/>
      <c r="SEA43" s="155"/>
      <c r="SEB43" s="155"/>
      <c r="SEC43" s="155"/>
      <c r="SED43" s="155"/>
      <c r="SEE43" s="155"/>
      <c r="SEF43" s="155"/>
      <c r="SEG43" s="155"/>
      <c r="SEH43" s="155"/>
      <c r="SEI43" s="155"/>
      <c r="SEJ43" s="155"/>
      <c r="SEK43" s="155"/>
      <c r="SEL43" s="155"/>
      <c r="SEM43" s="155"/>
      <c r="SEN43" s="155"/>
      <c r="SEO43" s="155"/>
      <c r="SEP43" s="155"/>
      <c r="SEQ43" s="155"/>
      <c r="SER43" s="155"/>
      <c r="SES43" s="155"/>
      <c r="SET43" s="155"/>
      <c r="SEU43" s="155"/>
      <c r="SEV43" s="155"/>
      <c r="SEW43" s="155"/>
      <c r="SEX43" s="155"/>
      <c r="SEY43" s="155"/>
      <c r="SEZ43" s="155"/>
      <c r="SFA43" s="155"/>
      <c r="SFB43" s="155"/>
      <c r="SFC43" s="155"/>
      <c r="SFD43" s="155"/>
      <c r="SFE43" s="155"/>
      <c r="SFF43" s="155"/>
      <c r="SFG43" s="155"/>
      <c r="SFH43" s="155"/>
      <c r="SFI43" s="155"/>
      <c r="SFJ43" s="155"/>
      <c r="SFK43" s="155"/>
      <c r="SFL43" s="155"/>
      <c r="SFM43" s="155"/>
      <c r="SFN43" s="155"/>
      <c r="SFO43" s="155"/>
      <c r="SFP43" s="155"/>
      <c r="SFQ43" s="155"/>
      <c r="SFR43" s="155"/>
      <c r="SFS43" s="155"/>
      <c r="SFT43" s="155"/>
      <c r="SFU43" s="155"/>
      <c r="SFV43" s="155"/>
      <c r="SFW43" s="155"/>
      <c r="SFX43" s="155"/>
      <c r="SFY43" s="155"/>
      <c r="SFZ43" s="155"/>
      <c r="SGA43" s="155"/>
      <c r="SGB43" s="155"/>
      <c r="SGC43" s="155"/>
      <c r="SGD43" s="155"/>
      <c r="SGE43" s="155"/>
      <c r="SGF43" s="155"/>
      <c r="SGG43" s="155"/>
      <c r="SGH43" s="155"/>
      <c r="SGI43" s="155"/>
      <c r="SGJ43" s="155"/>
      <c r="SGK43" s="155"/>
      <c r="SGL43" s="155"/>
      <c r="SGM43" s="155"/>
      <c r="SGN43" s="155"/>
      <c r="SGO43" s="155"/>
      <c r="SGP43" s="155"/>
      <c r="SGQ43" s="155"/>
      <c r="SGR43" s="155"/>
      <c r="SGS43" s="155"/>
      <c r="SGT43" s="155"/>
      <c r="SGU43" s="155"/>
      <c r="SGV43" s="155"/>
      <c r="SGW43" s="155"/>
      <c r="SGX43" s="155"/>
      <c r="SGY43" s="155"/>
      <c r="SGZ43" s="155"/>
      <c r="SHA43" s="155"/>
      <c r="SHB43" s="155"/>
      <c r="SHC43" s="155"/>
      <c r="SHD43" s="155"/>
      <c r="SHE43" s="155"/>
      <c r="SHF43" s="155"/>
      <c r="SHG43" s="155"/>
      <c r="SHH43" s="155"/>
      <c r="SHI43" s="155"/>
      <c r="SHJ43" s="155"/>
      <c r="SHK43" s="155"/>
      <c r="SHL43" s="155"/>
      <c r="SHM43" s="155"/>
      <c r="SHN43" s="155"/>
      <c r="SHO43" s="155"/>
      <c r="SHP43" s="155"/>
      <c r="SHQ43" s="155"/>
      <c r="SHR43" s="155"/>
      <c r="SHS43" s="155"/>
      <c r="SHT43" s="155"/>
      <c r="SHU43" s="155"/>
      <c r="SHV43" s="155"/>
      <c r="SHW43" s="155"/>
      <c r="SHX43" s="155"/>
      <c r="SHY43" s="155"/>
      <c r="SHZ43" s="155"/>
      <c r="SIA43" s="155"/>
      <c r="SIB43" s="155"/>
      <c r="SIC43" s="155"/>
      <c r="SID43" s="155"/>
      <c r="SIE43" s="155"/>
      <c r="SIF43" s="155"/>
      <c r="SIG43" s="155"/>
      <c r="SIH43" s="155"/>
      <c r="SII43" s="155"/>
      <c r="SIJ43" s="155"/>
      <c r="SIK43" s="155"/>
      <c r="SIL43" s="155"/>
      <c r="SIM43" s="155"/>
      <c r="SIN43" s="155"/>
      <c r="SIO43" s="155"/>
      <c r="SIP43" s="155"/>
      <c r="SIQ43" s="155"/>
      <c r="SIR43" s="155"/>
      <c r="SIS43" s="155"/>
      <c r="SIT43" s="155"/>
      <c r="SIU43" s="155"/>
      <c r="SIV43" s="155"/>
      <c r="SIW43" s="155"/>
      <c r="SIX43" s="155"/>
      <c r="SIY43" s="155"/>
      <c r="SIZ43" s="155"/>
      <c r="SJA43" s="155"/>
      <c r="SJB43" s="155"/>
      <c r="SJC43" s="155"/>
      <c r="SJD43" s="155"/>
      <c r="SJE43" s="155"/>
      <c r="SJF43" s="155"/>
      <c r="SJG43" s="155"/>
      <c r="SJH43" s="155"/>
      <c r="SJI43" s="155"/>
      <c r="SJJ43" s="155"/>
      <c r="SJK43" s="155"/>
      <c r="SJL43" s="155"/>
      <c r="SJM43" s="155"/>
      <c r="SJN43" s="155"/>
      <c r="SJO43" s="155"/>
      <c r="SJP43" s="155"/>
      <c r="SJQ43" s="155"/>
      <c r="SJR43" s="155"/>
      <c r="SJS43" s="155"/>
      <c r="SJT43" s="155"/>
      <c r="SJU43" s="155"/>
      <c r="SJV43" s="155"/>
      <c r="SJW43" s="155"/>
      <c r="SJX43" s="155"/>
      <c r="SJY43" s="155"/>
      <c r="SJZ43" s="155"/>
      <c r="SKA43" s="155"/>
      <c r="SKB43" s="155"/>
      <c r="SKC43" s="155"/>
      <c r="SKD43" s="155"/>
      <c r="SKE43" s="155"/>
      <c r="SKF43" s="155"/>
      <c r="SKG43" s="155"/>
      <c r="SKH43" s="155"/>
      <c r="SKI43" s="155"/>
      <c r="SKJ43" s="155"/>
      <c r="SKK43" s="155"/>
      <c r="SKL43" s="155"/>
      <c r="SKM43" s="155"/>
      <c r="SKN43" s="155"/>
      <c r="SKO43" s="155"/>
      <c r="SKP43" s="155"/>
      <c r="SKQ43" s="155"/>
      <c r="SKR43" s="155"/>
      <c r="SKS43" s="155"/>
      <c r="SKT43" s="155"/>
      <c r="SKU43" s="155"/>
      <c r="SKV43" s="155"/>
      <c r="SKW43" s="155"/>
      <c r="SKX43" s="155"/>
      <c r="SKY43" s="155"/>
      <c r="SKZ43" s="155"/>
      <c r="SLA43" s="155"/>
      <c r="SLB43" s="155"/>
      <c r="SLC43" s="155"/>
      <c r="SLD43" s="155"/>
      <c r="SLE43" s="155"/>
      <c r="SLF43" s="155"/>
      <c r="SLG43" s="155"/>
      <c r="SLH43" s="155"/>
      <c r="SLI43" s="155"/>
      <c r="SLJ43" s="155"/>
      <c r="SLK43" s="155"/>
      <c r="SLL43" s="155"/>
      <c r="SLM43" s="155"/>
      <c r="SLN43" s="155"/>
      <c r="SLO43" s="155"/>
      <c r="SLP43" s="155"/>
      <c r="SLQ43" s="155"/>
      <c r="SLR43" s="155"/>
      <c r="SLS43" s="155"/>
      <c r="SLT43" s="155"/>
      <c r="SLU43" s="155"/>
      <c r="SLV43" s="155"/>
      <c r="SLW43" s="155"/>
      <c r="SLX43" s="155"/>
      <c r="SLY43" s="155"/>
      <c r="SLZ43" s="155"/>
      <c r="SMA43" s="155"/>
      <c r="SMB43" s="155"/>
      <c r="SMC43" s="155"/>
      <c r="SMD43" s="155"/>
      <c r="SME43" s="155"/>
      <c r="SMF43" s="155"/>
      <c r="SMG43" s="155"/>
      <c r="SMH43" s="155"/>
      <c r="SMI43" s="155"/>
      <c r="SMJ43" s="155"/>
      <c r="SMK43" s="155"/>
      <c r="SML43" s="155"/>
      <c r="SMM43" s="155"/>
      <c r="SMN43" s="155"/>
      <c r="SMO43" s="155"/>
      <c r="SMP43" s="155"/>
      <c r="SMQ43" s="155"/>
      <c r="SMR43" s="155"/>
      <c r="SMS43" s="155"/>
      <c r="SMT43" s="155"/>
      <c r="SMU43" s="155"/>
      <c r="SMV43" s="155"/>
      <c r="SMW43" s="155"/>
      <c r="SMX43" s="155"/>
      <c r="SMY43" s="155"/>
      <c r="SMZ43" s="155"/>
      <c r="SNA43" s="155"/>
      <c r="SNB43" s="155"/>
      <c r="SNC43" s="155"/>
      <c r="SND43" s="155"/>
      <c r="SNE43" s="155"/>
      <c r="SNF43" s="155"/>
      <c r="SNG43" s="155"/>
      <c r="SNH43" s="155"/>
      <c r="SNI43" s="155"/>
      <c r="SNJ43" s="155"/>
      <c r="SNK43" s="155"/>
      <c r="SNL43" s="155"/>
      <c r="SNM43" s="155"/>
      <c r="SNN43" s="155"/>
      <c r="SNO43" s="155"/>
      <c r="SNP43" s="155"/>
      <c r="SNQ43" s="155"/>
      <c r="SNR43" s="155"/>
      <c r="SNS43" s="155"/>
      <c r="SNT43" s="155"/>
      <c r="SNU43" s="155"/>
      <c r="SNV43" s="155"/>
      <c r="SNW43" s="155"/>
      <c r="SNX43" s="155"/>
      <c r="SNY43" s="155"/>
      <c r="SNZ43" s="155"/>
      <c r="SOA43" s="155"/>
      <c r="SOB43" s="155"/>
      <c r="SOC43" s="155"/>
      <c r="SOD43" s="155"/>
      <c r="SOE43" s="155"/>
      <c r="SOF43" s="155"/>
      <c r="SOG43" s="155"/>
      <c r="SOH43" s="155"/>
      <c r="SOI43" s="155"/>
      <c r="SOJ43" s="155"/>
      <c r="SOK43" s="155"/>
      <c r="SOL43" s="155"/>
      <c r="SOM43" s="155"/>
      <c r="SON43" s="155"/>
      <c r="SOO43" s="155"/>
      <c r="SOP43" s="155"/>
      <c r="SOQ43" s="155"/>
      <c r="SOR43" s="155"/>
      <c r="SOS43" s="155"/>
      <c r="SOT43" s="155"/>
      <c r="SOU43" s="155"/>
      <c r="SOV43" s="155"/>
      <c r="SOW43" s="155"/>
      <c r="SOX43" s="155"/>
      <c r="SOY43" s="155"/>
      <c r="SOZ43" s="155"/>
      <c r="SPA43" s="155"/>
      <c r="SPB43" s="155"/>
      <c r="SPC43" s="155"/>
      <c r="SPD43" s="155"/>
      <c r="SPE43" s="155"/>
      <c r="SPF43" s="155"/>
      <c r="SPG43" s="155"/>
      <c r="SPH43" s="155"/>
      <c r="SPI43" s="155"/>
      <c r="SPJ43" s="155"/>
      <c r="SPK43" s="155"/>
      <c r="SPL43" s="155"/>
      <c r="SPM43" s="155"/>
      <c r="SPN43" s="155"/>
      <c r="SPO43" s="155"/>
      <c r="SPP43" s="155"/>
      <c r="SPQ43" s="155"/>
      <c r="SPR43" s="155"/>
      <c r="SPS43" s="155"/>
      <c r="SPT43" s="155"/>
      <c r="SPU43" s="155"/>
      <c r="SPV43" s="155"/>
      <c r="SPW43" s="155"/>
      <c r="SPX43" s="155"/>
      <c r="SPY43" s="155"/>
      <c r="SPZ43" s="155"/>
      <c r="SQA43" s="155"/>
      <c r="SQB43" s="155"/>
      <c r="SQC43" s="155"/>
      <c r="SQD43" s="155"/>
      <c r="SQE43" s="155"/>
      <c r="SQF43" s="155"/>
      <c r="SQG43" s="155"/>
      <c r="SQH43" s="155"/>
      <c r="SQI43" s="155"/>
      <c r="SQJ43" s="155"/>
      <c r="SQK43" s="155"/>
      <c r="SQL43" s="155"/>
      <c r="SQM43" s="155"/>
      <c r="SQN43" s="155"/>
      <c r="SQO43" s="155"/>
      <c r="SQP43" s="155"/>
      <c r="SQQ43" s="155"/>
      <c r="SQR43" s="155"/>
      <c r="SQS43" s="155"/>
      <c r="SQT43" s="155"/>
      <c r="SQU43" s="155"/>
      <c r="SQV43" s="155"/>
      <c r="SQW43" s="155"/>
      <c r="SQX43" s="155"/>
      <c r="SQY43" s="155"/>
      <c r="SQZ43" s="155"/>
      <c r="SRA43" s="155"/>
      <c r="SRB43" s="155"/>
      <c r="SRC43" s="155"/>
      <c r="SRD43" s="155"/>
      <c r="SRE43" s="155"/>
      <c r="SRF43" s="155"/>
      <c r="SRG43" s="155"/>
      <c r="SRH43" s="155"/>
      <c r="SRI43" s="155"/>
      <c r="SRJ43" s="155"/>
      <c r="SRK43" s="155"/>
      <c r="SRL43" s="155"/>
      <c r="SRM43" s="155"/>
      <c r="SRN43" s="155"/>
      <c r="SRO43" s="155"/>
      <c r="SRP43" s="155"/>
      <c r="SRQ43" s="155"/>
      <c r="SRR43" s="155"/>
      <c r="SRS43" s="155"/>
      <c r="SRT43" s="155"/>
      <c r="SRU43" s="155"/>
      <c r="SRV43" s="155"/>
      <c r="SRW43" s="155"/>
      <c r="SRX43" s="155"/>
      <c r="SRY43" s="155"/>
      <c r="SRZ43" s="155"/>
      <c r="SSA43" s="155"/>
      <c r="SSB43" s="155"/>
      <c r="SSC43" s="155"/>
      <c r="SSD43" s="155"/>
      <c r="SSE43" s="155"/>
      <c r="SSF43" s="155"/>
      <c r="SSG43" s="155"/>
      <c r="SSH43" s="155"/>
      <c r="SSI43" s="155"/>
      <c r="SSJ43" s="155"/>
      <c r="SSK43" s="155"/>
      <c r="SSL43" s="155"/>
      <c r="SSM43" s="155"/>
      <c r="SSN43" s="155"/>
      <c r="SSO43" s="155"/>
      <c r="SSP43" s="155"/>
      <c r="SSQ43" s="155"/>
      <c r="SSR43" s="155"/>
      <c r="SSS43" s="155"/>
      <c r="SST43" s="155"/>
      <c r="SSU43" s="155"/>
      <c r="SSV43" s="155"/>
      <c r="SSW43" s="155"/>
      <c r="SSX43" s="155"/>
      <c r="SSY43" s="155"/>
      <c r="SSZ43" s="155"/>
      <c r="STA43" s="155"/>
      <c r="STB43" s="155"/>
      <c r="STC43" s="155"/>
      <c r="STD43" s="155"/>
      <c r="STE43" s="155"/>
      <c r="STF43" s="155"/>
      <c r="STG43" s="155"/>
      <c r="STH43" s="155"/>
      <c r="STI43" s="155"/>
      <c r="STJ43" s="155"/>
      <c r="STK43" s="155"/>
      <c r="STL43" s="155"/>
      <c r="STM43" s="155"/>
      <c r="STN43" s="155"/>
      <c r="STO43" s="155"/>
      <c r="STP43" s="155"/>
      <c r="STQ43" s="155"/>
      <c r="STR43" s="155"/>
      <c r="STS43" s="155"/>
      <c r="STT43" s="155"/>
      <c r="STU43" s="155"/>
      <c r="STV43" s="155"/>
      <c r="STW43" s="155"/>
      <c r="STX43" s="155"/>
      <c r="STY43" s="155"/>
      <c r="STZ43" s="155"/>
      <c r="SUA43" s="155"/>
      <c r="SUB43" s="155"/>
      <c r="SUC43" s="155"/>
      <c r="SUD43" s="155"/>
      <c r="SUE43" s="155"/>
      <c r="SUF43" s="155"/>
      <c r="SUG43" s="155"/>
      <c r="SUH43" s="155"/>
      <c r="SUI43" s="155"/>
      <c r="SUJ43" s="155"/>
      <c r="SUK43" s="155"/>
      <c r="SUL43" s="155"/>
      <c r="SUM43" s="155"/>
      <c r="SUN43" s="155"/>
      <c r="SUO43" s="155"/>
      <c r="SUP43" s="155"/>
      <c r="SUQ43" s="155"/>
      <c r="SUR43" s="155"/>
      <c r="SUS43" s="155"/>
      <c r="SUT43" s="155"/>
      <c r="SUU43" s="155"/>
      <c r="SUV43" s="155"/>
      <c r="SUW43" s="155"/>
      <c r="SUX43" s="155"/>
      <c r="SUY43" s="155"/>
      <c r="SUZ43" s="155"/>
      <c r="SVA43" s="155"/>
      <c r="SVB43" s="155"/>
      <c r="SVC43" s="155"/>
      <c r="SVD43" s="155"/>
      <c r="SVE43" s="155"/>
      <c r="SVF43" s="155"/>
      <c r="SVG43" s="155"/>
      <c r="SVH43" s="155"/>
      <c r="SVI43" s="155"/>
      <c r="SVJ43" s="155"/>
      <c r="SVK43" s="155"/>
      <c r="SVL43" s="155"/>
      <c r="SVM43" s="155"/>
      <c r="SVN43" s="155"/>
      <c r="SVO43" s="155"/>
      <c r="SVP43" s="155"/>
      <c r="SVQ43" s="155"/>
      <c r="SVR43" s="155"/>
      <c r="SVS43" s="155"/>
      <c r="SVT43" s="155"/>
      <c r="SVU43" s="155"/>
      <c r="SVV43" s="155"/>
      <c r="SVW43" s="155"/>
      <c r="SVX43" s="155"/>
      <c r="SVY43" s="155"/>
      <c r="SVZ43" s="155"/>
      <c r="SWA43" s="155"/>
      <c r="SWB43" s="155"/>
      <c r="SWC43" s="155"/>
      <c r="SWD43" s="155"/>
      <c r="SWE43" s="155"/>
      <c r="SWF43" s="155"/>
      <c r="SWG43" s="155"/>
      <c r="SWH43" s="155"/>
      <c r="SWI43" s="155"/>
      <c r="SWJ43" s="155"/>
      <c r="SWK43" s="155"/>
      <c r="SWL43" s="155"/>
      <c r="SWM43" s="155"/>
      <c r="SWN43" s="155"/>
      <c r="SWO43" s="155"/>
      <c r="SWP43" s="155"/>
      <c r="SWQ43" s="155"/>
      <c r="SWR43" s="155"/>
      <c r="SWS43" s="155"/>
      <c r="SWT43" s="155"/>
      <c r="SWU43" s="155"/>
      <c r="SWV43" s="155"/>
      <c r="SWW43" s="155"/>
      <c r="SWX43" s="155"/>
      <c r="SWY43" s="155"/>
      <c r="SWZ43" s="155"/>
      <c r="SXA43" s="155"/>
      <c r="SXB43" s="155"/>
      <c r="SXC43" s="155"/>
      <c r="SXD43" s="155"/>
      <c r="SXE43" s="155"/>
      <c r="SXF43" s="155"/>
      <c r="SXG43" s="155"/>
      <c r="SXH43" s="155"/>
      <c r="SXI43" s="155"/>
      <c r="SXJ43" s="155"/>
      <c r="SXK43" s="155"/>
      <c r="SXL43" s="155"/>
      <c r="SXM43" s="155"/>
      <c r="SXN43" s="155"/>
      <c r="SXO43" s="155"/>
      <c r="SXP43" s="155"/>
      <c r="SXQ43" s="155"/>
      <c r="SXR43" s="155"/>
      <c r="SXS43" s="155"/>
      <c r="SXT43" s="155"/>
      <c r="SXU43" s="155"/>
      <c r="SXV43" s="155"/>
      <c r="SXW43" s="155"/>
      <c r="SXX43" s="155"/>
      <c r="SXY43" s="155"/>
      <c r="SXZ43" s="155"/>
      <c r="SYA43" s="155"/>
      <c r="SYB43" s="155"/>
      <c r="SYC43" s="155"/>
      <c r="SYD43" s="155"/>
      <c r="SYE43" s="155"/>
      <c r="SYF43" s="155"/>
      <c r="SYG43" s="155"/>
      <c r="SYH43" s="155"/>
      <c r="SYI43" s="155"/>
      <c r="SYJ43" s="155"/>
      <c r="SYK43" s="155"/>
      <c r="SYL43" s="155"/>
      <c r="SYM43" s="155"/>
      <c r="SYN43" s="155"/>
      <c r="SYO43" s="155"/>
      <c r="SYP43" s="155"/>
      <c r="SYQ43" s="155"/>
      <c r="SYR43" s="155"/>
      <c r="SYS43" s="155"/>
      <c r="SYT43" s="155"/>
      <c r="SYU43" s="155"/>
      <c r="SYV43" s="155"/>
      <c r="SYW43" s="155"/>
      <c r="SYX43" s="155"/>
      <c r="SYY43" s="155"/>
      <c r="SYZ43" s="155"/>
      <c r="SZA43" s="155"/>
      <c r="SZB43" s="155"/>
      <c r="SZC43" s="155"/>
      <c r="SZD43" s="155"/>
      <c r="SZE43" s="155"/>
      <c r="SZF43" s="155"/>
      <c r="SZG43" s="155"/>
      <c r="SZH43" s="155"/>
      <c r="SZI43" s="155"/>
      <c r="SZJ43" s="155"/>
      <c r="SZK43" s="155"/>
      <c r="SZL43" s="155"/>
      <c r="SZM43" s="155"/>
      <c r="SZN43" s="155"/>
      <c r="SZO43" s="155"/>
      <c r="SZP43" s="155"/>
      <c r="SZQ43" s="155"/>
      <c r="SZR43" s="155"/>
      <c r="SZS43" s="155"/>
      <c r="SZT43" s="155"/>
      <c r="SZU43" s="155"/>
      <c r="SZV43" s="155"/>
      <c r="SZW43" s="155"/>
      <c r="SZX43" s="155"/>
      <c r="SZY43" s="155"/>
      <c r="SZZ43" s="155"/>
      <c r="TAA43" s="155"/>
      <c r="TAB43" s="155"/>
      <c r="TAC43" s="155"/>
      <c r="TAD43" s="155"/>
      <c r="TAE43" s="155"/>
      <c r="TAF43" s="155"/>
      <c r="TAG43" s="155"/>
      <c r="TAH43" s="155"/>
      <c r="TAI43" s="155"/>
      <c r="TAJ43" s="155"/>
      <c r="TAK43" s="155"/>
      <c r="TAL43" s="155"/>
      <c r="TAM43" s="155"/>
      <c r="TAN43" s="155"/>
      <c r="TAO43" s="155"/>
      <c r="TAP43" s="155"/>
      <c r="TAQ43" s="155"/>
      <c r="TAR43" s="155"/>
      <c r="TAS43" s="155"/>
      <c r="TAT43" s="155"/>
      <c r="TAU43" s="155"/>
      <c r="TAV43" s="155"/>
      <c r="TAW43" s="155"/>
      <c r="TAX43" s="155"/>
      <c r="TAY43" s="155"/>
      <c r="TAZ43" s="155"/>
      <c r="TBA43" s="155"/>
      <c r="TBB43" s="155"/>
      <c r="TBC43" s="155"/>
      <c r="TBD43" s="155"/>
      <c r="TBE43" s="155"/>
      <c r="TBF43" s="155"/>
      <c r="TBG43" s="155"/>
      <c r="TBH43" s="155"/>
      <c r="TBI43" s="155"/>
      <c r="TBJ43" s="155"/>
      <c r="TBK43" s="155"/>
      <c r="TBL43" s="155"/>
      <c r="TBM43" s="155"/>
      <c r="TBN43" s="155"/>
      <c r="TBO43" s="155"/>
      <c r="TBP43" s="155"/>
      <c r="TBQ43" s="155"/>
      <c r="TBR43" s="155"/>
      <c r="TBS43" s="155"/>
      <c r="TBT43" s="155"/>
      <c r="TBU43" s="155"/>
      <c r="TBV43" s="155"/>
      <c r="TBW43" s="155"/>
      <c r="TBX43" s="155"/>
      <c r="TBY43" s="155"/>
      <c r="TBZ43" s="155"/>
      <c r="TCA43" s="155"/>
      <c r="TCB43" s="155"/>
      <c r="TCC43" s="155"/>
      <c r="TCD43" s="155"/>
      <c r="TCE43" s="155"/>
      <c r="TCF43" s="155"/>
      <c r="TCG43" s="155"/>
      <c r="TCH43" s="155"/>
      <c r="TCI43" s="155"/>
      <c r="TCJ43" s="155"/>
      <c r="TCK43" s="155"/>
      <c r="TCL43" s="155"/>
      <c r="TCM43" s="155"/>
      <c r="TCN43" s="155"/>
      <c r="TCO43" s="155"/>
      <c r="TCP43" s="155"/>
      <c r="TCQ43" s="155"/>
      <c r="TCR43" s="155"/>
      <c r="TCS43" s="155"/>
      <c r="TCT43" s="155"/>
      <c r="TCU43" s="155"/>
      <c r="TCV43" s="155"/>
      <c r="TCW43" s="155"/>
      <c r="TCX43" s="155"/>
      <c r="TCY43" s="155"/>
      <c r="TCZ43" s="155"/>
      <c r="TDA43" s="155"/>
      <c r="TDB43" s="155"/>
      <c r="TDC43" s="155"/>
      <c r="TDD43" s="155"/>
      <c r="TDE43" s="155"/>
      <c r="TDF43" s="155"/>
      <c r="TDG43" s="155"/>
      <c r="TDH43" s="155"/>
      <c r="TDI43" s="155"/>
      <c r="TDJ43" s="155"/>
      <c r="TDK43" s="155"/>
      <c r="TDL43" s="155"/>
      <c r="TDM43" s="155"/>
      <c r="TDN43" s="155"/>
      <c r="TDO43" s="155"/>
      <c r="TDP43" s="155"/>
      <c r="TDQ43" s="155"/>
      <c r="TDR43" s="155"/>
      <c r="TDS43" s="155"/>
      <c r="TDT43" s="155"/>
      <c r="TDU43" s="155"/>
      <c r="TDV43" s="155"/>
      <c r="TDW43" s="155"/>
      <c r="TDX43" s="155"/>
      <c r="TDY43" s="155"/>
      <c r="TDZ43" s="155"/>
      <c r="TEA43" s="155"/>
      <c r="TEB43" s="155"/>
      <c r="TEC43" s="155"/>
      <c r="TED43" s="155"/>
      <c r="TEE43" s="155"/>
      <c r="TEF43" s="155"/>
      <c r="TEG43" s="155"/>
      <c r="TEH43" s="155"/>
      <c r="TEI43" s="155"/>
      <c r="TEJ43" s="155"/>
      <c r="TEK43" s="155"/>
      <c r="TEL43" s="155"/>
      <c r="TEM43" s="155"/>
      <c r="TEN43" s="155"/>
      <c r="TEO43" s="155"/>
      <c r="TEP43" s="155"/>
      <c r="TEQ43" s="155"/>
      <c r="TER43" s="155"/>
      <c r="TES43" s="155"/>
      <c r="TET43" s="155"/>
      <c r="TEU43" s="155"/>
      <c r="TEV43" s="155"/>
      <c r="TEW43" s="155"/>
      <c r="TEX43" s="155"/>
      <c r="TEY43" s="155"/>
      <c r="TEZ43" s="155"/>
      <c r="TFA43" s="155"/>
      <c r="TFB43" s="155"/>
      <c r="TFC43" s="155"/>
      <c r="TFD43" s="155"/>
      <c r="TFE43" s="155"/>
      <c r="TFF43" s="155"/>
      <c r="TFG43" s="155"/>
      <c r="TFH43" s="155"/>
      <c r="TFI43" s="155"/>
      <c r="TFJ43" s="155"/>
      <c r="TFK43" s="155"/>
      <c r="TFL43" s="155"/>
      <c r="TFM43" s="155"/>
      <c r="TFN43" s="155"/>
      <c r="TFO43" s="155"/>
      <c r="TFP43" s="155"/>
      <c r="TFQ43" s="155"/>
      <c r="TFR43" s="155"/>
      <c r="TFS43" s="155"/>
      <c r="TFT43" s="155"/>
      <c r="TFU43" s="155"/>
      <c r="TFV43" s="155"/>
      <c r="TFW43" s="155"/>
      <c r="TFX43" s="155"/>
      <c r="TFY43" s="155"/>
      <c r="TFZ43" s="155"/>
      <c r="TGA43" s="155"/>
      <c r="TGB43" s="155"/>
      <c r="TGC43" s="155"/>
      <c r="TGD43" s="155"/>
      <c r="TGE43" s="155"/>
      <c r="TGF43" s="155"/>
      <c r="TGG43" s="155"/>
      <c r="TGH43" s="155"/>
      <c r="TGI43" s="155"/>
      <c r="TGJ43" s="155"/>
      <c r="TGK43" s="155"/>
      <c r="TGL43" s="155"/>
      <c r="TGM43" s="155"/>
      <c r="TGN43" s="155"/>
      <c r="TGO43" s="155"/>
      <c r="TGP43" s="155"/>
      <c r="TGQ43" s="155"/>
      <c r="TGR43" s="155"/>
      <c r="TGS43" s="155"/>
      <c r="TGT43" s="155"/>
      <c r="TGU43" s="155"/>
      <c r="TGV43" s="155"/>
      <c r="TGW43" s="155"/>
      <c r="TGX43" s="155"/>
      <c r="TGY43" s="155"/>
      <c r="TGZ43" s="155"/>
      <c r="THA43" s="155"/>
      <c r="THB43" s="155"/>
      <c r="THC43" s="155"/>
      <c r="THD43" s="155"/>
      <c r="THE43" s="155"/>
      <c r="THF43" s="155"/>
      <c r="THG43" s="155"/>
      <c r="THH43" s="155"/>
      <c r="THI43" s="155"/>
      <c r="THJ43" s="155"/>
      <c r="THK43" s="155"/>
      <c r="THL43" s="155"/>
      <c r="THM43" s="155"/>
      <c r="THN43" s="155"/>
      <c r="THO43" s="155"/>
      <c r="THP43" s="155"/>
      <c r="THQ43" s="155"/>
      <c r="THR43" s="155"/>
      <c r="THS43" s="155"/>
      <c r="THT43" s="155"/>
      <c r="THU43" s="155"/>
      <c r="THV43" s="155"/>
      <c r="THW43" s="155"/>
      <c r="THX43" s="155"/>
      <c r="THY43" s="155"/>
      <c r="THZ43" s="155"/>
      <c r="TIA43" s="155"/>
      <c r="TIB43" s="155"/>
      <c r="TIC43" s="155"/>
      <c r="TID43" s="155"/>
      <c r="TIE43" s="155"/>
      <c r="TIF43" s="155"/>
      <c r="TIG43" s="155"/>
      <c r="TIH43" s="155"/>
      <c r="TII43" s="155"/>
      <c r="TIJ43" s="155"/>
      <c r="TIK43" s="155"/>
      <c r="TIL43" s="155"/>
      <c r="TIM43" s="155"/>
      <c r="TIN43" s="155"/>
      <c r="TIO43" s="155"/>
      <c r="TIP43" s="155"/>
      <c r="TIQ43" s="155"/>
      <c r="TIR43" s="155"/>
      <c r="TIS43" s="155"/>
      <c r="TIT43" s="155"/>
      <c r="TIU43" s="155"/>
      <c r="TIV43" s="155"/>
      <c r="TIW43" s="155"/>
      <c r="TIX43" s="155"/>
      <c r="TIY43" s="155"/>
      <c r="TIZ43" s="155"/>
      <c r="TJA43" s="155"/>
      <c r="TJB43" s="155"/>
      <c r="TJC43" s="155"/>
      <c r="TJD43" s="155"/>
      <c r="TJE43" s="155"/>
      <c r="TJF43" s="155"/>
      <c r="TJG43" s="155"/>
      <c r="TJH43" s="155"/>
      <c r="TJI43" s="155"/>
      <c r="TJJ43" s="155"/>
      <c r="TJK43" s="155"/>
      <c r="TJL43" s="155"/>
      <c r="TJM43" s="155"/>
      <c r="TJN43" s="155"/>
      <c r="TJO43" s="155"/>
      <c r="TJP43" s="155"/>
      <c r="TJQ43" s="155"/>
      <c r="TJR43" s="155"/>
      <c r="TJS43" s="155"/>
      <c r="TJT43" s="155"/>
      <c r="TJU43" s="155"/>
      <c r="TJV43" s="155"/>
      <c r="TJW43" s="155"/>
      <c r="TJX43" s="155"/>
      <c r="TJY43" s="155"/>
      <c r="TJZ43" s="155"/>
      <c r="TKA43" s="155"/>
      <c r="TKB43" s="155"/>
      <c r="TKC43" s="155"/>
      <c r="TKD43" s="155"/>
      <c r="TKE43" s="155"/>
      <c r="TKF43" s="155"/>
      <c r="TKG43" s="155"/>
      <c r="TKH43" s="155"/>
      <c r="TKI43" s="155"/>
      <c r="TKJ43" s="155"/>
      <c r="TKK43" s="155"/>
      <c r="TKL43" s="155"/>
      <c r="TKM43" s="155"/>
      <c r="TKN43" s="155"/>
      <c r="TKO43" s="155"/>
      <c r="TKP43" s="155"/>
      <c r="TKQ43" s="155"/>
      <c r="TKR43" s="155"/>
      <c r="TKS43" s="155"/>
      <c r="TKT43" s="155"/>
      <c r="TKU43" s="155"/>
      <c r="TKV43" s="155"/>
      <c r="TKW43" s="155"/>
      <c r="TKX43" s="155"/>
      <c r="TKY43" s="155"/>
      <c r="TKZ43" s="155"/>
      <c r="TLA43" s="155"/>
      <c r="TLB43" s="155"/>
      <c r="TLC43" s="155"/>
      <c r="TLD43" s="155"/>
      <c r="TLE43" s="155"/>
      <c r="TLF43" s="155"/>
      <c r="TLG43" s="155"/>
      <c r="TLH43" s="155"/>
      <c r="TLI43" s="155"/>
      <c r="TLJ43" s="155"/>
      <c r="TLK43" s="155"/>
      <c r="TLL43" s="155"/>
      <c r="TLM43" s="155"/>
      <c r="TLN43" s="155"/>
      <c r="TLO43" s="155"/>
      <c r="TLP43" s="155"/>
      <c r="TLQ43" s="155"/>
      <c r="TLR43" s="155"/>
      <c r="TLS43" s="155"/>
      <c r="TLT43" s="155"/>
      <c r="TLU43" s="155"/>
      <c r="TLV43" s="155"/>
      <c r="TLW43" s="155"/>
      <c r="TLX43" s="155"/>
      <c r="TLY43" s="155"/>
      <c r="TLZ43" s="155"/>
      <c r="TMA43" s="155"/>
      <c r="TMB43" s="155"/>
      <c r="TMC43" s="155"/>
      <c r="TMD43" s="155"/>
      <c r="TME43" s="155"/>
      <c r="TMF43" s="155"/>
      <c r="TMG43" s="155"/>
      <c r="TMH43" s="155"/>
      <c r="TMI43" s="155"/>
      <c r="TMJ43" s="155"/>
      <c r="TMK43" s="155"/>
      <c r="TML43" s="155"/>
      <c r="TMM43" s="155"/>
      <c r="TMN43" s="155"/>
      <c r="TMO43" s="155"/>
      <c r="TMP43" s="155"/>
      <c r="TMQ43" s="155"/>
      <c r="TMR43" s="155"/>
      <c r="TMS43" s="155"/>
      <c r="TMT43" s="155"/>
      <c r="TMU43" s="155"/>
      <c r="TMV43" s="155"/>
      <c r="TMW43" s="155"/>
      <c r="TMX43" s="155"/>
      <c r="TMY43" s="155"/>
      <c r="TMZ43" s="155"/>
      <c r="TNA43" s="155"/>
      <c r="TNB43" s="155"/>
      <c r="TNC43" s="155"/>
      <c r="TND43" s="155"/>
      <c r="TNE43" s="155"/>
      <c r="TNF43" s="155"/>
      <c r="TNG43" s="155"/>
      <c r="TNH43" s="155"/>
      <c r="TNI43" s="155"/>
      <c r="TNJ43" s="155"/>
      <c r="TNK43" s="155"/>
      <c r="TNL43" s="155"/>
      <c r="TNM43" s="155"/>
      <c r="TNN43" s="155"/>
      <c r="TNO43" s="155"/>
      <c r="TNP43" s="155"/>
      <c r="TNQ43" s="155"/>
      <c r="TNR43" s="155"/>
      <c r="TNS43" s="155"/>
      <c r="TNT43" s="155"/>
      <c r="TNU43" s="155"/>
      <c r="TNV43" s="155"/>
      <c r="TNW43" s="155"/>
      <c r="TNX43" s="155"/>
      <c r="TNY43" s="155"/>
      <c r="TNZ43" s="155"/>
      <c r="TOA43" s="155"/>
      <c r="TOB43" s="155"/>
      <c r="TOC43" s="155"/>
      <c r="TOD43" s="155"/>
      <c r="TOE43" s="155"/>
      <c r="TOF43" s="155"/>
      <c r="TOG43" s="155"/>
      <c r="TOH43" s="155"/>
      <c r="TOI43" s="155"/>
      <c r="TOJ43" s="155"/>
      <c r="TOK43" s="155"/>
      <c r="TOL43" s="155"/>
      <c r="TOM43" s="155"/>
      <c r="TON43" s="155"/>
      <c r="TOO43" s="155"/>
      <c r="TOP43" s="155"/>
      <c r="TOQ43" s="155"/>
      <c r="TOR43" s="155"/>
      <c r="TOS43" s="155"/>
      <c r="TOT43" s="155"/>
      <c r="TOU43" s="155"/>
      <c r="TOV43" s="155"/>
      <c r="TOW43" s="155"/>
      <c r="TOX43" s="155"/>
      <c r="TOY43" s="155"/>
      <c r="TOZ43" s="155"/>
      <c r="TPA43" s="155"/>
      <c r="TPB43" s="155"/>
      <c r="TPC43" s="155"/>
      <c r="TPD43" s="155"/>
      <c r="TPE43" s="155"/>
      <c r="TPF43" s="155"/>
      <c r="TPG43" s="155"/>
      <c r="TPH43" s="155"/>
      <c r="TPI43" s="155"/>
      <c r="TPJ43" s="155"/>
      <c r="TPK43" s="155"/>
      <c r="TPL43" s="155"/>
      <c r="TPM43" s="155"/>
      <c r="TPN43" s="155"/>
      <c r="TPO43" s="155"/>
      <c r="TPP43" s="155"/>
      <c r="TPQ43" s="155"/>
      <c r="TPR43" s="155"/>
      <c r="TPS43" s="155"/>
      <c r="TPT43" s="155"/>
      <c r="TPU43" s="155"/>
      <c r="TPV43" s="155"/>
      <c r="TPW43" s="155"/>
      <c r="TPX43" s="155"/>
      <c r="TPY43" s="155"/>
      <c r="TPZ43" s="155"/>
      <c r="TQA43" s="155"/>
      <c r="TQB43" s="155"/>
      <c r="TQC43" s="155"/>
      <c r="TQD43" s="155"/>
      <c r="TQE43" s="155"/>
      <c r="TQF43" s="155"/>
      <c r="TQG43" s="155"/>
      <c r="TQH43" s="155"/>
      <c r="TQI43" s="155"/>
      <c r="TQJ43" s="155"/>
      <c r="TQK43" s="155"/>
      <c r="TQL43" s="155"/>
      <c r="TQM43" s="155"/>
      <c r="TQN43" s="155"/>
      <c r="TQO43" s="155"/>
      <c r="TQP43" s="155"/>
      <c r="TQQ43" s="155"/>
      <c r="TQR43" s="155"/>
      <c r="TQS43" s="155"/>
      <c r="TQT43" s="155"/>
      <c r="TQU43" s="155"/>
      <c r="TQV43" s="155"/>
      <c r="TQW43" s="155"/>
      <c r="TQX43" s="155"/>
      <c r="TQY43" s="155"/>
      <c r="TQZ43" s="155"/>
      <c r="TRA43" s="155"/>
      <c r="TRB43" s="155"/>
      <c r="TRC43" s="155"/>
      <c r="TRD43" s="155"/>
      <c r="TRE43" s="155"/>
      <c r="TRF43" s="155"/>
      <c r="TRG43" s="155"/>
      <c r="TRH43" s="155"/>
      <c r="TRI43" s="155"/>
      <c r="TRJ43" s="155"/>
      <c r="TRK43" s="155"/>
      <c r="TRL43" s="155"/>
      <c r="TRM43" s="155"/>
      <c r="TRN43" s="155"/>
      <c r="TRO43" s="155"/>
      <c r="TRP43" s="155"/>
      <c r="TRQ43" s="155"/>
      <c r="TRR43" s="155"/>
      <c r="TRS43" s="155"/>
      <c r="TRT43" s="155"/>
      <c r="TRU43" s="155"/>
      <c r="TRV43" s="155"/>
      <c r="TRW43" s="155"/>
      <c r="TRX43" s="155"/>
      <c r="TRY43" s="155"/>
      <c r="TRZ43" s="155"/>
      <c r="TSA43" s="155"/>
      <c r="TSB43" s="155"/>
      <c r="TSC43" s="155"/>
      <c r="TSD43" s="155"/>
      <c r="TSE43" s="155"/>
      <c r="TSF43" s="155"/>
      <c r="TSG43" s="155"/>
      <c r="TSH43" s="155"/>
      <c r="TSI43" s="155"/>
      <c r="TSJ43" s="155"/>
      <c r="TSK43" s="155"/>
      <c r="TSL43" s="155"/>
      <c r="TSM43" s="155"/>
      <c r="TSN43" s="155"/>
      <c r="TSO43" s="155"/>
      <c r="TSP43" s="155"/>
      <c r="TSQ43" s="155"/>
      <c r="TSR43" s="155"/>
      <c r="TSS43" s="155"/>
      <c r="TST43" s="155"/>
      <c r="TSU43" s="155"/>
      <c r="TSV43" s="155"/>
      <c r="TSW43" s="155"/>
      <c r="TSX43" s="155"/>
      <c r="TSY43" s="155"/>
      <c r="TSZ43" s="155"/>
      <c r="TTA43" s="155"/>
      <c r="TTB43" s="155"/>
      <c r="TTC43" s="155"/>
      <c r="TTD43" s="155"/>
      <c r="TTE43" s="155"/>
      <c r="TTF43" s="155"/>
      <c r="TTG43" s="155"/>
      <c r="TTH43" s="155"/>
      <c r="TTI43" s="155"/>
      <c r="TTJ43" s="155"/>
      <c r="TTK43" s="155"/>
      <c r="TTL43" s="155"/>
      <c r="TTM43" s="155"/>
      <c r="TTN43" s="155"/>
      <c r="TTO43" s="155"/>
      <c r="TTP43" s="155"/>
      <c r="TTQ43" s="155"/>
      <c r="TTR43" s="155"/>
      <c r="TTS43" s="155"/>
      <c r="TTT43" s="155"/>
      <c r="TTU43" s="155"/>
      <c r="TTV43" s="155"/>
      <c r="TTW43" s="155"/>
      <c r="TTX43" s="155"/>
      <c r="TTY43" s="155"/>
      <c r="TTZ43" s="155"/>
      <c r="TUA43" s="155"/>
      <c r="TUB43" s="155"/>
      <c r="TUC43" s="155"/>
      <c r="TUD43" s="155"/>
      <c r="TUE43" s="155"/>
      <c r="TUF43" s="155"/>
      <c r="TUG43" s="155"/>
      <c r="TUH43" s="155"/>
      <c r="TUI43" s="155"/>
      <c r="TUJ43" s="155"/>
      <c r="TUK43" s="155"/>
      <c r="TUL43" s="155"/>
      <c r="TUM43" s="155"/>
      <c r="TUN43" s="155"/>
      <c r="TUO43" s="155"/>
      <c r="TUP43" s="155"/>
      <c r="TUQ43" s="155"/>
      <c r="TUR43" s="155"/>
      <c r="TUS43" s="155"/>
      <c r="TUT43" s="155"/>
      <c r="TUU43" s="155"/>
      <c r="TUV43" s="155"/>
      <c r="TUW43" s="155"/>
      <c r="TUX43" s="155"/>
      <c r="TUY43" s="155"/>
      <c r="TUZ43" s="155"/>
      <c r="TVA43" s="155"/>
      <c r="TVB43" s="155"/>
      <c r="TVC43" s="155"/>
      <c r="TVD43" s="155"/>
      <c r="TVE43" s="155"/>
      <c r="TVF43" s="155"/>
      <c r="TVG43" s="155"/>
      <c r="TVH43" s="155"/>
      <c r="TVI43" s="155"/>
      <c r="TVJ43" s="155"/>
      <c r="TVK43" s="155"/>
      <c r="TVL43" s="155"/>
      <c r="TVM43" s="155"/>
      <c r="TVN43" s="155"/>
      <c r="TVO43" s="155"/>
      <c r="TVP43" s="155"/>
      <c r="TVQ43" s="155"/>
      <c r="TVR43" s="155"/>
      <c r="TVS43" s="155"/>
      <c r="TVT43" s="155"/>
      <c r="TVU43" s="155"/>
      <c r="TVV43" s="155"/>
      <c r="TVW43" s="155"/>
      <c r="TVX43" s="155"/>
      <c r="TVY43" s="155"/>
      <c r="TVZ43" s="155"/>
      <c r="TWA43" s="155"/>
      <c r="TWB43" s="155"/>
      <c r="TWC43" s="155"/>
      <c r="TWD43" s="155"/>
      <c r="TWE43" s="155"/>
      <c r="TWF43" s="155"/>
      <c r="TWG43" s="155"/>
      <c r="TWH43" s="155"/>
      <c r="TWI43" s="155"/>
      <c r="TWJ43" s="155"/>
      <c r="TWK43" s="155"/>
      <c r="TWL43" s="155"/>
      <c r="TWM43" s="155"/>
      <c r="TWN43" s="155"/>
      <c r="TWO43" s="155"/>
      <c r="TWP43" s="155"/>
      <c r="TWQ43" s="155"/>
      <c r="TWR43" s="155"/>
      <c r="TWS43" s="155"/>
      <c r="TWT43" s="155"/>
      <c r="TWU43" s="155"/>
      <c r="TWV43" s="155"/>
      <c r="TWW43" s="155"/>
      <c r="TWX43" s="155"/>
      <c r="TWY43" s="155"/>
      <c r="TWZ43" s="155"/>
      <c r="TXA43" s="155"/>
      <c r="TXB43" s="155"/>
      <c r="TXC43" s="155"/>
      <c r="TXD43" s="155"/>
      <c r="TXE43" s="155"/>
      <c r="TXF43" s="155"/>
      <c r="TXG43" s="155"/>
      <c r="TXH43" s="155"/>
      <c r="TXI43" s="155"/>
      <c r="TXJ43" s="155"/>
      <c r="TXK43" s="155"/>
      <c r="TXL43" s="155"/>
      <c r="TXM43" s="155"/>
      <c r="TXN43" s="155"/>
      <c r="TXO43" s="155"/>
      <c r="TXP43" s="155"/>
      <c r="TXQ43" s="155"/>
      <c r="TXR43" s="155"/>
      <c r="TXS43" s="155"/>
      <c r="TXT43" s="155"/>
      <c r="TXU43" s="155"/>
      <c r="TXV43" s="155"/>
      <c r="TXW43" s="155"/>
      <c r="TXX43" s="155"/>
      <c r="TXY43" s="155"/>
      <c r="TXZ43" s="155"/>
      <c r="TYA43" s="155"/>
      <c r="TYB43" s="155"/>
      <c r="TYC43" s="155"/>
      <c r="TYD43" s="155"/>
      <c r="TYE43" s="155"/>
      <c r="TYF43" s="155"/>
      <c r="TYG43" s="155"/>
      <c r="TYH43" s="155"/>
      <c r="TYI43" s="155"/>
      <c r="TYJ43" s="155"/>
      <c r="TYK43" s="155"/>
      <c r="TYL43" s="155"/>
      <c r="TYM43" s="155"/>
      <c r="TYN43" s="155"/>
      <c r="TYO43" s="155"/>
      <c r="TYP43" s="155"/>
      <c r="TYQ43" s="155"/>
      <c r="TYR43" s="155"/>
      <c r="TYS43" s="155"/>
      <c r="TYT43" s="155"/>
      <c r="TYU43" s="155"/>
      <c r="TYV43" s="155"/>
      <c r="TYW43" s="155"/>
      <c r="TYX43" s="155"/>
      <c r="TYY43" s="155"/>
      <c r="TYZ43" s="155"/>
      <c r="TZA43" s="155"/>
      <c r="TZB43" s="155"/>
      <c r="TZC43" s="155"/>
      <c r="TZD43" s="155"/>
      <c r="TZE43" s="155"/>
      <c r="TZF43" s="155"/>
      <c r="TZG43" s="155"/>
      <c r="TZH43" s="155"/>
      <c r="TZI43" s="155"/>
      <c r="TZJ43" s="155"/>
      <c r="TZK43" s="155"/>
      <c r="TZL43" s="155"/>
      <c r="TZM43" s="155"/>
      <c r="TZN43" s="155"/>
      <c r="TZO43" s="155"/>
      <c r="TZP43" s="155"/>
      <c r="TZQ43" s="155"/>
      <c r="TZR43" s="155"/>
      <c r="TZS43" s="155"/>
      <c r="TZT43" s="155"/>
      <c r="TZU43" s="155"/>
      <c r="TZV43" s="155"/>
      <c r="TZW43" s="155"/>
      <c r="TZX43" s="155"/>
      <c r="TZY43" s="155"/>
      <c r="TZZ43" s="155"/>
      <c r="UAA43" s="155"/>
      <c r="UAB43" s="155"/>
      <c r="UAC43" s="155"/>
      <c r="UAD43" s="155"/>
      <c r="UAE43" s="155"/>
      <c r="UAF43" s="155"/>
      <c r="UAG43" s="155"/>
      <c r="UAH43" s="155"/>
      <c r="UAI43" s="155"/>
      <c r="UAJ43" s="155"/>
      <c r="UAK43" s="155"/>
      <c r="UAL43" s="155"/>
      <c r="UAM43" s="155"/>
      <c r="UAN43" s="155"/>
      <c r="UAO43" s="155"/>
      <c r="UAP43" s="155"/>
      <c r="UAQ43" s="155"/>
      <c r="UAR43" s="155"/>
      <c r="UAS43" s="155"/>
      <c r="UAT43" s="155"/>
      <c r="UAU43" s="155"/>
      <c r="UAV43" s="155"/>
      <c r="UAW43" s="155"/>
      <c r="UAX43" s="155"/>
      <c r="UAY43" s="155"/>
      <c r="UAZ43" s="155"/>
      <c r="UBA43" s="155"/>
      <c r="UBB43" s="155"/>
      <c r="UBC43" s="155"/>
      <c r="UBD43" s="155"/>
      <c r="UBE43" s="155"/>
      <c r="UBF43" s="155"/>
      <c r="UBG43" s="155"/>
      <c r="UBH43" s="155"/>
      <c r="UBI43" s="155"/>
      <c r="UBJ43" s="155"/>
      <c r="UBK43" s="155"/>
      <c r="UBL43" s="155"/>
      <c r="UBM43" s="155"/>
      <c r="UBN43" s="155"/>
      <c r="UBO43" s="155"/>
      <c r="UBP43" s="155"/>
      <c r="UBQ43" s="155"/>
      <c r="UBR43" s="155"/>
      <c r="UBS43" s="155"/>
      <c r="UBT43" s="155"/>
      <c r="UBU43" s="155"/>
      <c r="UBV43" s="155"/>
      <c r="UBW43" s="155"/>
      <c r="UBX43" s="155"/>
      <c r="UBY43" s="155"/>
      <c r="UBZ43" s="155"/>
      <c r="UCA43" s="155"/>
      <c r="UCB43" s="155"/>
      <c r="UCC43" s="155"/>
      <c r="UCD43" s="155"/>
      <c r="UCE43" s="155"/>
      <c r="UCF43" s="155"/>
      <c r="UCG43" s="155"/>
      <c r="UCH43" s="155"/>
      <c r="UCI43" s="155"/>
      <c r="UCJ43" s="155"/>
      <c r="UCK43" s="155"/>
      <c r="UCL43" s="155"/>
      <c r="UCM43" s="155"/>
      <c r="UCN43" s="155"/>
      <c r="UCO43" s="155"/>
      <c r="UCP43" s="155"/>
      <c r="UCQ43" s="155"/>
      <c r="UCR43" s="155"/>
      <c r="UCS43" s="155"/>
      <c r="UCT43" s="155"/>
      <c r="UCU43" s="155"/>
      <c r="UCV43" s="155"/>
      <c r="UCW43" s="155"/>
      <c r="UCX43" s="155"/>
      <c r="UCY43" s="155"/>
      <c r="UCZ43" s="155"/>
      <c r="UDA43" s="155"/>
      <c r="UDB43" s="155"/>
      <c r="UDC43" s="155"/>
      <c r="UDD43" s="155"/>
      <c r="UDE43" s="155"/>
      <c r="UDF43" s="155"/>
      <c r="UDG43" s="155"/>
      <c r="UDH43" s="155"/>
      <c r="UDI43" s="155"/>
      <c r="UDJ43" s="155"/>
      <c r="UDK43" s="155"/>
      <c r="UDL43" s="155"/>
      <c r="UDM43" s="155"/>
      <c r="UDN43" s="155"/>
      <c r="UDO43" s="155"/>
      <c r="UDP43" s="155"/>
      <c r="UDQ43" s="155"/>
      <c r="UDR43" s="155"/>
      <c r="UDS43" s="155"/>
      <c r="UDT43" s="155"/>
      <c r="UDU43" s="155"/>
      <c r="UDV43" s="155"/>
      <c r="UDW43" s="155"/>
      <c r="UDX43" s="155"/>
      <c r="UDY43" s="155"/>
      <c r="UDZ43" s="155"/>
      <c r="UEA43" s="155"/>
      <c r="UEB43" s="155"/>
      <c r="UEC43" s="155"/>
      <c r="UED43" s="155"/>
      <c r="UEE43" s="155"/>
      <c r="UEF43" s="155"/>
      <c r="UEG43" s="155"/>
      <c r="UEH43" s="155"/>
      <c r="UEI43" s="155"/>
      <c r="UEJ43" s="155"/>
      <c r="UEK43" s="155"/>
      <c r="UEL43" s="155"/>
      <c r="UEM43" s="155"/>
      <c r="UEN43" s="155"/>
      <c r="UEO43" s="155"/>
      <c r="UEP43" s="155"/>
      <c r="UEQ43" s="155"/>
      <c r="UER43" s="155"/>
      <c r="UES43" s="155"/>
      <c r="UET43" s="155"/>
      <c r="UEU43" s="155"/>
      <c r="UEV43" s="155"/>
      <c r="UEW43" s="155"/>
      <c r="UEX43" s="155"/>
      <c r="UEY43" s="155"/>
      <c r="UEZ43" s="155"/>
      <c r="UFA43" s="155"/>
      <c r="UFB43" s="155"/>
      <c r="UFC43" s="155"/>
      <c r="UFD43" s="155"/>
      <c r="UFE43" s="155"/>
      <c r="UFF43" s="155"/>
      <c r="UFG43" s="155"/>
      <c r="UFH43" s="155"/>
      <c r="UFI43" s="155"/>
      <c r="UFJ43" s="155"/>
      <c r="UFK43" s="155"/>
      <c r="UFL43" s="155"/>
      <c r="UFM43" s="155"/>
      <c r="UFN43" s="155"/>
      <c r="UFO43" s="155"/>
      <c r="UFP43" s="155"/>
      <c r="UFQ43" s="155"/>
      <c r="UFR43" s="155"/>
      <c r="UFS43" s="155"/>
      <c r="UFT43" s="155"/>
      <c r="UFU43" s="155"/>
      <c r="UFV43" s="155"/>
      <c r="UFW43" s="155"/>
      <c r="UFX43" s="155"/>
      <c r="UFY43" s="155"/>
      <c r="UFZ43" s="155"/>
      <c r="UGA43" s="155"/>
      <c r="UGB43" s="155"/>
      <c r="UGC43" s="155"/>
      <c r="UGD43" s="155"/>
      <c r="UGE43" s="155"/>
      <c r="UGF43" s="155"/>
      <c r="UGG43" s="155"/>
      <c r="UGH43" s="155"/>
      <c r="UGI43" s="155"/>
      <c r="UGJ43" s="155"/>
      <c r="UGK43" s="155"/>
      <c r="UGL43" s="155"/>
      <c r="UGM43" s="155"/>
      <c r="UGN43" s="155"/>
      <c r="UGO43" s="155"/>
      <c r="UGP43" s="155"/>
      <c r="UGQ43" s="155"/>
      <c r="UGR43" s="155"/>
      <c r="UGS43" s="155"/>
      <c r="UGT43" s="155"/>
      <c r="UGU43" s="155"/>
      <c r="UGV43" s="155"/>
      <c r="UGW43" s="155"/>
      <c r="UGX43" s="155"/>
      <c r="UGY43" s="155"/>
      <c r="UGZ43" s="155"/>
      <c r="UHA43" s="155"/>
      <c r="UHB43" s="155"/>
      <c r="UHC43" s="155"/>
      <c r="UHD43" s="155"/>
      <c r="UHE43" s="155"/>
      <c r="UHF43" s="155"/>
      <c r="UHG43" s="155"/>
      <c r="UHH43" s="155"/>
      <c r="UHI43" s="155"/>
      <c r="UHJ43" s="155"/>
      <c r="UHK43" s="155"/>
      <c r="UHL43" s="155"/>
      <c r="UHM43" s="155"/>
      <c r="UHN43" s="155"/>
      <c r="UHO43" s="155"/>
      <c r="UHP43" s="155"/>
      <c r="UHQ43" s="155"/>
      <c r="UHR43" s="155"/>
      <c r="UHS43" s="155"/>
      <c r="UHT43" s="155"/>
      <c r="UHU43" s="155"/>
      <c r="UHV43" s="155"/>
      <c r="UHW43" s="155"/>
      <c r="UHX43" s="155"/>
      <c r="UHY43" s="155"/>
      <c r="UHZ43" s="155"/>
      <c r="UIA43" s="155"/>
      <c r="UIB43" s="155"/>
      <c r="UIC43" s="155"/>
      <c r="UID43" s="155"/>
      <c r="UIE43" s="155"/>
      <c r="UIF43" s="155"/>
      <c r="UIG43" s="155"/>
      <c r="UIH43" s="155"/>
      <c r="UII43" s="155"/>
      <c r="UIJ43" s="155"/>
      <c r="UIK43" s="155"/>
      <c r="UIL43" s="155"/>
      <c r="UIM43" s="155"/>
      <c r="UIN43" s="155"/>
      <c r="UIO43" s="155"/>
      <c r="UIP43" s="155"/>
      <c r="UIQ43" s="155"/>
      <c r="UIR43" s="155"/>
      <c r="UIS43" s="155"/>
      <c r="UIT43" s="155"/>
      <c r="UIU43" s="155"/>
      <c r="UIV43" s="155"/>
      <c r="UIW43" s="155"/>
      <c r="UIX43" s="155"/>
      <c r="UIY43" s="155"/>
      <c r="UIZ43" s="155"/>
      <c r="UJA43" s="155"/>
      <c r="UJB43" s="155"/>
      <c r="UJC43" s="155"/>
      <c r="UJD43" s="155"/>
      <c r="UJE43" s="155"/>
      <c r="UJF43" s="155"/>
      <c r="UJG43" s="155"/>
      <c r="UJH43" s="155"/>
      <c r="UJI43" s="155"/>
      <c r="UJJ43" s="155"/>
      <c r="UJK43" s="155"/>
      <c r="UJL43" s="155"/>
      <c r="UJM43" s="155"/>
      <c r="UJN43" s="155"/>
      <c r="UJO43" s="155"/>
      <c r="UJP43" s="155"/>
      <c r="UJQ43" s="155"/>
      <c r="UJR43" s="155"/>
      <c r="UJS43" s="155"/>
      <c r="UJT43" s="155"/>
      <c r="UJU43" s="155"/>
      <c r="UJV43" s="155"/>
      <c r="UJW43" s="155"/>
      <c r="UJX43" s="155"/>
      <c r="UJY43" s="155"/>
      <c r="UJZ43" s="155"/>
      <c r="UKA43" s="155"/>
      <c r="UKB43" s="155"/>
      <c r="UKC43" s="155"/>
      <c r="UKD43" s="155"/>
      <c r="UKE43" s="155"/>
      <c r="UKF43" s="155"/>
      <c r="UKG43" s="155"/>
      <c r="UKH43" s="155"/>
      <c r="UKI43" s="155"/>
      <c r="UKJ43" s="155"/>
      <c r="UKK43" s="155"/>
      <c r="UKL43" s="155"/>
      <c r="UKM43" s="155"/>
      <c r="UKN43" s="155"/>
      <c r="UKO43" s="155"/>
      <c r="UKP43" s="155"/>
      <c r="UKQ43" s="155"/>
      <c r="UKR43" s="155"/>
      <c r="UKS43" s="155"/>
      <c r="UKT43" s="155"/>
      <c r="UKU43" s="155"/>
      <c r="UKV43" s="155"/>
      <c r="UKW43" s="155"/>
      <c r="UKX43" s="155"/>
      <c r="UKY43" s="155"/>
      <c r="UKZ43" s="155"/>
      <c r="ULA43" s="155"/>
      <c r="ULB43" s="155"/>
      <c r="ULC43" s="155"/>
      <c r="ULD43" s="155"/>
      <c r="ULE43" s="155"/>
      <c r="ULF43" s="155"/>
      <c r="ULG43" s="155"/>
      <c r="ULH43" s="155"/>
      <c r="ULI43" s="155"/>
      <c r="ULJ43" s="155"/>
      <c r="ULK43" s="155"/>
      <c r="ULL43" s="155"/>
      <c r="ULM43" s="155"/>
      <c r="ULN43" s="155"/>
      <c r="ULO43" s="155"/>
      <c r="ULP43" s="155"/>
      <c r="ULQ43" s="155"/>
      <c r="ULR43" s="155"/>
      <c r="ULS43" s="155"/>
      <c r="ULT43" s="155"/>
      <c r="ULU43" s="155"/>
      <c r="ULV43" s="155"/>
      <c r="ULW43" s="155"/>
      <c r="ULX43" s="155"/>
      <c r="ULY43" s="155"/>
      <c r="ULZ43" s="155"/>
      <c r="UMA43" s="155"/>
      <c r="UMB43" s="155"/>
      <c r="UMC43" s="155"/>
      <c r="UMD43" s="155"/>
      <c r="UME43" s="155"/>
      <c r="UMF43" s="155"/>
      <c r="UMG43" s="155"/>
      <c r="UMH43" s="155"/>
      <c r="UMI43" s="155"/>
      <c r="UMJ43" s="155"/>
      <c r="UMK43" s="155"/>
      <c r="UML43" s="155"/>
      <c r="UMM43" s="155"/>
      <c r="UMN43" s="155"/>
      <c r="UMO43" s="155"/>
      <c r="UMP43" s="155"/>
      <c r="UMQ43" s="155"/>
      <c r="UMR43" s="155"/>
      <c r="UMS43" s="155"/>
      <c r="UMT43" s="155"/>
      <c r="UMU43" s="155"/>
      <c r="UMV43" s="155"/>
      <c r="UMW43" s="155"/>
      <c r="UMX43" s="155"/>
      <c r="UMY43" s="155"/>
      <c r="UMZ43" s="155"/>
      <c r="UNA43" s="155"/>
      <c r="UNB43" s="155"/>
      <c r="UNC43" s="155"/>
      <c r="UND43" s="155"/>
      <c r="UNE43" s="155"/>
      <c r="UNF43" s="155"/>
      <c r="UNG43" s="155"/>
      <c r="UNH43" s="155"/>
      <c r="UNI43" s="155"/>
      <c r="UNJ43" s="155"/>
      <c r="UNK43" s="155"/>
      <c r="UNL43" s="155"/>
      <c r="UNM43" s="155"/>
      <c r="UNN43" s="155"/>
      <c r="UNO43" s="155"/>
      <c r="UNP43" s="155"/>
      <c r="UNQ43" s="155"/>
      <c r="UNR43" s="155"/>
      <c r="UNS43" s="155"/>
      <c r="UNT43" s="155"/>
      <c r="UNU43" s="155"/>
      <c r="UNV43" s="155"/>
      <c r="UNW43" s="155"/>
      <c r="UNX43" s="155"/>
      <c r="UNY43" s="155"/>
      <c r="UNZ43" s="155"/>
      <c r="UOA43" s="155"/>
      <c r="UOB43" s="155"/>
      <c r="UOC43" s="155"/>
      <c r="UOD43" s="155"/>
      <c r="UOE43" s="155"/>
      <c r="UOF43" s="155"/>
      <c r="UOG43" s="155"/>
      <c r="UOH43" s="155"/>
      <c r="UOI43" s="155"/>
      <c r="UOJ43" s="155"/>
      <c r="UOK43" s="155"/>
      <c r="UOL43" s="155"/>
      <c r="UOM43" s="155"/>
      <c r="UON43" s="155"/>
      <c r="UOO43" s="155"/>
      <c r="UOP43" s="155"/>
      <c r="UOQ43" s="155"/>
      <c r="UOR43" s="155"/>
      <c r="UOS43" s="155"/>
      <c r="UOT43" s="155"/>
      <c r="UOU43" s="155"/>
      <c r="UOV43" s="155"/>
      <c r="UOW43" s="155"/>
      <c r="UOX43" s="155"/>
      <c r="UOY43" s="155"/>
      <c r="UOZ43" s="155"/>
      <c r="UPA43" s="155"/>
      <c r="UPB43" s="155"/>
      <c r="UPC43" s="155"/>
      <c r="UPD43" s="155"/>
      <c r="UPE43" s="155"/>
      <c r="UPF43" s="155"/>
      <c r="UPG43" s="155"/>
      <c r="UPH43" s="155"/>
      <c r="UPI43" s="155"/>
      <c r="UPJ43" s="155"/>
      <c r="UPK43" s="155"/>
      <c r="UPL43" s="155"/>
      <c r="UPM43" s="155"/>
      <c r="UPN43" s="155"/>
      <c r="UPO43" s="155"/>
      <c r="UPP43" s="155"/>
      <c r="UPQ43" s="155"/>
      <c r="UPR43" s="155"/>
      <c r="UPS43" s="155"/>
      <c r="UPT43" s="155"/>
      <c r="UPU43" s="155"/>
      <c r="UPV43" s="155"/>
      <c r="UPW43" s="155"/>
      <c r="UPX43" s="155"/>
      <c r="UPY43" s="155"/>
      <c r="UPZ43" s="155"/>
      <c r="UQA43" s="155"/>
      <c r="UQB43" s="155"/>
      <c r="UQC43" s="155"/>
      <c r="UQD43" s="155"/>
      <c r="UQE43" s="155"/>
      <c r="UQF43" s="155"/>
      <c r="UQG43" s="155"/>
      <c r="UQH43" s="155"/>
      <c r="UQI43" s="155"/>
      <c r="UQJ43" s="155"/>
      <c r="UQK43" s="155"/>
      <c r="UQL43" s="155"/>
      <c r="UQM43" s="155"/>
      <c r="UQN43" s="155"/>
      <c r="UQO43" s="155"/>
      <c r="UQP43" s="155"/>
      <c r="UQQ43" s="155"/>
      <c r="UQR43" s="155"/>
      <c r="UQS43" s="155"/>
      <c r="UQT43" s="155"/>
      <c r="UQU43" s="155"/>
      <c r="UQV43" s="155"/>
      <c r="UQW43" s="155"/>
      <c r="UQX43" s="155"/>
      <c r="UQY43" s="155"/>
      <c r="UQZ43" s="155"/>
      <c r="URA43" s="155"/>
      <c r="URB43" s="155"/>
      <c r="URC43" s="155"/>
      <c r="URD43" s="155"/>
      <c r="URE43" s="155"/>
      <c r="URF43" s="155"/>
      <c r="URG43" s="155"/>
      <c r="URH43" s="155"/>
      <c r="URI43" s="155"/>
      <c r="URJ43" s="155"/>
      <c r="URK43" s="155"/>
      <c r="URL43" s="155"/>
      <c r="URM43" s="155"/>
      <c r="URN43" s="155"/>
      <c r="URO43" s="155"/>
      <c r="URP43" s="155"/>
      <c r="URQ43" s="155"/>
      <c r="URR43" s="155"/>
      <c r="URS43" s="155"/>
      <c r="URT43" s="155"/>
      <c r="URU43" s="155"/>
      <c r="URV43" s="155"/>
      <c r="URW43" s="155"/>
      <c r="URX43" s="155"/>
      <c r="URY43" s="155"/>
      <c r="URZ43" s="155"/>
      <c r="USA43" s="155"/>
      <c r="USB43" s="155"/>
      <c r="USC43" s="155"/>
      <c r="USD43" s="155"/>
      <c r="USE43" s="155"/>
      <c r="USF43" s="155"/>
      <c r="USG43" s="155"/>
      <c r="USH43" s="155"/>
      <c r="USI43" s="155"/>
      <c r="USJ43" s="155"/>
      <c r="USK43" s="155"/>
      <c r="USL43" s="155"/>
      <c r="USM43" s="155"/>
      <c r="USN43" s="155"/>
      <c r="USO43" s="155"/>
      <c r="USP43" s="155"/>
      <c r="USQ43" s="155"/>
      <c r="USR43" s="155"/>
      <c r="USS43" s="155"/>
      <c r="UST43" s="155"/>
      <c r="USU43" s="155"/>
      <c r="USV43" s="155"/>
      <c r="USW43" s="155"/>
      <c r="USX43" s="155"/>
      <c r="USY43" s="155"/>
      <c r="USZ43" s="155"/>
      <c r="UTA43" s="155"/>
      <c r="UTB43" s="155"/>
      <c r="UTC43" s="155"/>
      <c r="UTD43" s="155"/>
      <c r="UTE43" s="155"/>
      <c r="UTF43" s="155"/>
      <c r="UTG43" s="155"/>
      <c r="UTH43" s="155"/>
      <c r="UTI43" s="155"/>
      <c r="UTJ43" s="155"/>
      <c r="UTK43" s="155"/>
      <c r="UTL43" s="155"/>
      <c r="UTM43" s="155"/>
      <c r="UTN43" s="155"/>
      <c r="UTO43" s="155"/>
      <c r="UTP43" s="155"/>
      <c r="UTQ43" s="155"/>
      <c r="UTR43" s="155"/>
      <c r="UTS43" s="155"/>
      <c r="UTT43" s="155"/>
      <c r="UTU43" s="155"/>
      <c r="UTV43" s="155"/>
      <c r="UTW43" s="155"/>
      <c r="UTX43" s="155"/>
      <c r="UTY43" s="155"/>
      <c r="UTZ43" s="155"/>
      <c r="UUA43" s="155"/>
      <c r="UUB43" s="155"/>
      <c r="UUC43" s="155"/>
      <c r="UUD43" s="155"/>
      <c r="UUE43" s="155"/>
      <c r="UUF43" s="155"/>
      <c r="UUG43" s="155"/>
      <c r="UUH43" s="155"/>
      <c r="UUI43" s="155"/>
      <c r="UUJ43" s="155"/>
      <c r="UUK43" s="155"/>
      <c r="UUL43" s="155"/>
      <c r="UUM43" s="155"/>
      <c r="UUN43" s="155"/>
      <c r="UUO43" s="155"/>
      <c r="UUP43" s="155"/>
      <c r="UUQ43" s="155"/>
      <c r="UUR43" s="155"/>
      <c r="UUS43" s="155"/>
      <c r="UUT43" s="155"/>
      <c r="UUU43" s="155"/>
      <c r="UUV43" s="155"/>
      <c r="UUW43" s="155"/>
      <c r="UUX43" s="155"/>
      <c r="UUY43" s="155"/>
      <c r="UUZ43" s="155"/>
      <c r="UVA43" s="155"/>
      <c r="UVB43" s="155"/>
      <c r="UVC43" s="155"/>
      <c r="UVD43" s="155"/>
      <c r="UVE43" s="155"/>
      <c r="UVF43" s="155"/>
      <c r="UVG43" s="155"/>
      <c r="UVH43" s="155"/>
      <c r="UVI43" s="155"/>
      <c r="UVJ43" s="155"/>
      <c r="UVK43" s="155"/>
      <c r="UVL43" s="155"/>
      <c r="UVM43" s="155"/>
      <c r="UVN43" s="155"/>
      <c r="UVO43" s="155"/>
      <c r="UVP43" s="155"/>
      <c r="UVQ43" s="155"/>
      <c r="UVR43" s="155"/>
      <c r="UVS43" s="155"/>
      <c r="UVT43" s="155"/>
      <c r="UVU43" s="155"/>
      <c r="UVV43" s="155"/>
      <c r="UVW43" s="155"/>
      <c r="UVX43" s="155"/>
      <c r="UVY43" s="155"/>
      <c r="UVZ43" s="155"/>
      <c r="UWA43" s="155"/>
      <c r="UWB43" s="155"/>
      <c r="UWC43" s="155"/>
      <c r="UWD43" s="155"/>
      <c r="UWE43" s="155"/>
      <c r="UWF43" s="155"/>
      <c r="UWG43" s="155"/>
      <c r="UWH43" s="155"/>
      <c r="UWI43" s="155"/>
      <c r="UWJ43" s="155"/>
      <c r="UWK43" s="155"/>
      <c r="UWL43" s="155"/>
      <c r="UWM43" s="155"/>
      <c r="UWN43" s="155"/>
      <c r="UWO43" s="155"/>
      <c r="UWP43" s="155"/>
      <c r="UWQ43" s="155"/>
      <c r="UWR43" s="155"/>
      <c r="UWS43" s="155"/>
      <c r="UWT43" s="155"/>
      <c r="UWU43" s="155"/>
      <c r="UWV43" s="155"/>
      <c r="UWW43" s="155"/>
      <c r="UWX43" s="155"/>
      <c r="UWY43" s="155"/>
      <c r="UWZ43" s="155"/>
      <c r="UXA43" s="155"/>
      <c r="UXB43" s="155"/>
      <c r="UXC43" s="155"/>
      <c r="UXD43" s="155"/>
      <c r="UXE43" s="155"/>
      <c r="UXF43" s="155"/>
      <c r="UXG43" s="155"/>
      <c r="UXH43" s="155"/>
      <c r="UXI43" s="155"/>
      <c r="UXJ43" s="155"/>
      <c r="UXK43" s="155"/>
      <c r="UXL43" s="155"/>
      <c r="UXM43" s="155"/>
      <c r="UXN43" s="155"/>
      <c r="UXO43" s="155"/>
      <c r="UXP43" s="155"/>
      <c r="UXQ43" s="155"/>
      <c r="UXR43" s="155"/>
      <c r="UXS43" s="155"/>
      <c r="UXT43" s="155"/>
      <c r="UXU43" s="155"/>
      <c r="UXV43" s="155"/>
      <c r="UXW43" s="155"/>
      <c r="UXX43" s="155"/>
      <c r="UXY43" s="155"/>
      <c r="UXZ43" s="155"/>
      <c r="UYA43" s="155"/>
      <c r="UYB43" s="155"/>
      <c r="UYC43" s="155"/>
      <c r="UYD43" s="155"/>
      <c r="UYE43" s="155"/>
      <c r="UYF43" s="155"/>
      <c r="UYG43" s="155"/>
      <c r="UYH43" s="155"/>
      <c r="UYI43" s="155"/>
      <c r="UYJ43" s="155"/>
      <c r="UYK43" s="155"/>
      <c r="UYL43" s="155"/>
      <c r="UYM43" s="155"/>
      <c r="UYN43" s="155"/>
      <c r="UYO43" s="155"/>
      <c r="UYP43" s="155"/>
      <c r="UYQ43" s="155"/>
      <c r="UYR43" s="155"/>
      <c r="UYS43" s="155"/>
      <c r="UYT43" s="155"/>
      <c r="UYU43" s="155"/>
      <c r="UYV43" s="155"/>
      <c r="UYW43" s="155"/>
      <c r="UYX43" s="155"/>
      <c r="UYY43" s="155"/>
      <c r="UYZ43" s="155"/>
      <c r="UZA43" s="155"/>
      <c r="UZB43" s="155"/>
      <c r="UZC43" s="155"/>
      <c r="UZD43" s="155"/>
      <c r="UZE43" s="155"/>
      <c r="UZF43" s="155"/>
      <c r="UZG43" s="155"/>
      <c r="UZH43" s="155"/>
      <c r="UZI43" s="155"/>
      <c r="UZJ43" s="155"/>
      <c r="UZK43" s="155"/>
      <c r="UZL43" s="155"/>
      <c r="UZM43" s="155"/>
      <c r="UZN43" s="155"/>
      <c r="UZO43" s="155"/>
      <c r="UZP43" s="155"/>
      <c r="UZQ43" s="155"/>
      <c r="UZR43" s="155"/>
      <c r="UZS43" s="155"/>
      <c r="UZT43" s="155"/>
      <c r="UZU43" s="155"/>
      <c r="UZV43" s="155"/>
      <c r="UZW43" s="155"/>
      <c r="UZX43" s="155"/>
      <c r="UZY43" s="155"/>
      <c r="UZZ43" s="155"/>
      <c r="VAA43" s="155"/>
      <c r="VAB43" s="155"/>
      <c r="VAC43" s="155"/>
      <c r="VAD43" s="155"/>
      <c r="VAE43" s="155"/>
      <c r="VAF43" s="155"/>
      <c r="VAG43" s="155"/>
      <c r="VAH43" s="155"/>
      <c r="VAI43" s="155"/>
      <c r="VAJ43" s="155"/>
      <c r="VAK43" s="155"/>
      <c r="VAL43" s="155"/>
      <c r="VAM43" s="155"/>
      <c r="VAN43" s="155"/>
      <c r="VAO43" s="155"/>
      <c r="VAP43" s="155"/>
      <c r="VAQ43" s="155"/>
      <c r="VAR43" s="155"/>
      <c r="VAS43" s="155"/>
      <c r="VAT43" s="155"/>
      <c r="VAU43" s="155"/>
      <c r="VAV43" s="155"/>
      <c r="VAW43" s="155"/>
      <c r="VAX43" s="155"/>
      <c r="VAY43" s="155"/>
      <c r="VAZ43" s="155"/>
      <c r="VBA43" s="155"/>
      <c r="VBB43" s="155"/>
      <c r="VBC43" s="155"/>
      <c r="VBD43" s="155"/>
      <c r="VBE43" s="155"/>
      <c r="VBF43" s="155"/>
      <c r="VBG43" s="155"/>
      <c r="VBH43" s="155"/>
      <c r="VBI43" s="155"/>
      <c r="VBJ43" s="155"/>
      <c r="VBK43" s="155"/>
      <c r="VBL43" s="155"/>
      <c r="VBM43" s="155"/>
      <c r="VBN43" s="155"/>
      <c r="VBO43" s="155"/>
      <c r="VBP43" s="155"/>
      <c r="VBQ43" s="155"/>
      <c r="VBR43" s="155"/>
      <c r="VBS43" s="155"/>
      <c r="VBT43" s="155"/>
      <c r="VBU43" s="155"/>
      <c r="VBV43" s="155"/>
      <c r="VBW43" s="155"/>
      <c r="VBX43" s="155"/>
      <c r="VBY43" s="155"/>
      <c r="VBZ43" s="155"/>
      <c r="VCA43" s="155"/>
      <c r="VCB43" s="155"/>
      <c r="VCC43" s="155"/>
      <c r="VCD43" s="155"/>
      <c r="VCE43" s="155"/>
      <c r="VCF43" s="155"/>
      <c r="VCG43" s="155"/>
      <c r="VCH43" s="155"/>
      <c r="VCI43" s="155"/>
      <c r="VCJ43" s="155"/>
      <c r="VCK43" s="155"/>
      <c r="VCL43" s="155"/>
      <c r="VCM43" s="155"/>
      <c r="VCN43" s="155"/>
      <c r="VCO43" s="155"/>
      <c r="VCP43" s="155"/>
      <c r="VCQ43" s="155"/>
      <c r="VCR43" s="155"/>
      <c r="VCS43" s="155"/>
      <c r="VCT43" s="155"/>
      <c r="VCU43" s="155"/>
      <c r="VCV43" s="155"/>
      <c r="VCW43" s="155"/>
      <c r="VCX43" s="155"/>
      <c r="VCY43" s="155"/>
      <c r="VCZ43" s="155"/>
      <c r="VDA43" s="155"/>
      <c r="VDB43" s="155"/>
      <c r="VDC43" s="155"/>
      <c r="VDD43" s="155"/>
      <c r="VDE43" s="155"/>
      <c r="VDF43" s="155"/>
      <c r="VDG43" s="155"/>
      <c r="VDH43" s="155"/>
      <c r="VDI43" s="155"/>
      <c r="VDJ43" s="155"/>
      <c r="VDK43" s="155"/>
      <c r="VDL43" s="155"/>
      <c r="VDM43" s="155"/>
      <c r="VDN43" s="155"/>
      <c r="VDO43" s="155"/>
      <c r="VDP43" s="155"/>
      <c r="VDQ43" s="155"/>
      <c r="VDR43" s="155"/>
      <c r="VDS43" s="155"/>
      <c r="VDT43" s="155"/>
      <c r="VDU43" s="155"/>
      <c r="VDV43" s="155"/>
      <c r="VDW43" s="155"/>
      <c r="VDX43" s="155"/>
      <c r="VDY43" s="155"/>
      <c r="VDZ43" s="155"/>
      <c r="VEA43" s="155"/>
      <c r="VEB43" s="155"/>
      <c r="VEC43" s="155"/>
      <c r="VED43" s="155"/>
      <c r="VEE43" s="155"/>
      <c r="VEF43" s="155"/>
      <c r="VEG43" s="155"/>
      <c r="VEH43" s="155"/>
      <c r="VEI43" s="155"/>
      <c r="VEJ43" s="155"/>
      <c r="VEK43" s="155"/>
      <c r="VEL43" s="155"/>
      <c r="VEM43" s="155"/>
      <c r="VEN43" s="155"/>
      <c r="VEO43" s="155"/>
      <c r="VEP43" s="155"/>
      <c r="VEQ43" s="155"/>
      <c r="VER43" s="155"/>
      <c r="VES43" s="155"/>
      <c r="VET43" s="155"/>
      <c r="VEU43" s="155"/>
      <c r="VEV43" s="155"/>
      <c r="VEW43" s="155"/>
      <c r="VEX43" s="155"/>
      <c r="VEY43" s="155"/>
      <c r="VEZ43" s="155"/>
      <c r="VFA43" s="155"/>
      <c r="VFB43" s="155"/>
      <c r="VFC43" s="155"/>
      <c r="VFD43" s="155"/>
      <c r="VFE43" s="155"/>
      <c r="VFF43" s="155"/>
      <c r="VFG43" s="155"/>
      <c r="VFH43" s="155"/>
      <c r="VFI43" s="155"/>
      <c r="VFJ43" s="155"/>
      <c r="VFK43" s="155"/>
      <c r="VFL43" s="155"/>
      <c r="VFM43" s="155"/>
      <c r="VFN43" s="155"/>
      <c r="VFO43" s="155"/>
      <c r="VFP43" s="155"/>
      <c r="VFQ43" s="155"/>
      <c r="VFR43" s="155"/>
      <c r="VFS43" s="155"/>
      <c r="VFT43" s="155"/>
      <c r="VFU43" s="155"/>
      <c r="VFV43" s="155"/>
      <c r="VFW43" s="155"/>
      <c r="VFX43" s="155"/>
      <c r="VFY43" s="155"/>
      <c r="VFZ43" s="155"/>
      <c r="VGA43" s="155"/>
      <c r="VGB43" s="155"/>
      <c r="VGC43" s="155"/>
      <c r="VGD43" s="155"/>
      <c r="VGE43" s="155"/>
      <c r="VGF43" s="155"/>
      <c r="VGG43" s="155"/>
      <c r="VGH43" s="155"/>
      <c r="VGI43" s="155"/>
      <c r="VGJ43" s="155"/>
      <c r="VGK43" s="155"/>
      <c r="VGL43" s="155"/>
      <c r="VGM43" s="155"/>
      <c r="VGN43" s="155"/>
      <c r="VGO43" s="155"/>
      <c r="VGP43" s="155"/>
      <c r="VGQ43" s="155"/>
      <c r="VGR43" s="155"/>
      <c r="VGS43" s="155"/>
      <c r="VGT43" s="155"/>
      <c r="VGU43" s="155"/>
      <c r="VGV43" s="155"/>
      <c r="VGW43" s="155"/>
      <c r="VGX43" s="155"/>
      <c r="VGY43" s="155"/>
      <c r="VGZ43" s="155"/>
      <c r="VHA43" s="155"/>
      <c r="VHB43" s="155"/>
      <c r="VHC43" s="155"/>
      <c r="VHD43" s="155"/>
      <c r="VHE43" s="155"/>
      <c r="VHF43" s="155"/>
      <c r="VHG43" s="155"/>
      <c r="VHH43" s="155"/>
      <c r="VHI43" s="155"/>
      <c r="VHJ43" s="155"/>
      <c r="VHK43" s="155"/>
      <c r="VHL43" s="155"/>
      <c r="VHM43" s="155"/>
      <c r="VHN43" s="155"/>
      <c r="VHO43" s="155"/>
      <c r="VHP43" s="155"/>
      <c r="VHQ43" s="155"/>
      <c r="VHR43" s="155"/>
      <c r="VHS43" s="155"/>
      <c r="VHT43" s="155"/>
      <c r="VHU43" s="155"/>
      <c r="VHV43" s="155"/>
      <c r="VHW43" s="155"/>
      <c r="VHX43" s="155"/>
      <c r="VHY43" s="155"/>
      <c r="VHZ43" s="155"/>
      <c r="VIA43" s="155"/>
      <c r="VIB43" s="155"/>
      <c r="VIC43" s="155"/>
      <c r="VID43" s="155"/>
      <c r="VIE43" s="155"/>
      <c r="VIF43" s="155"/>
      <c r="VIG43" s="155"/>
      <c r="VIH43" s="155"/>
      <c r="VII43" s="155"/>
      <c r="VIJ43" s="155"/>
      <c r="VIK43" s="155"/>
      <c r="VIL43" s="155"/>
      <c r="VIM43" s="155"/>
      <c r="VIN43" s="155"/>
      <c r="VIO43" s="155"/>
      <c r="VIP43" s="155"/>
      <c r="VIQ43" s="155"/>
      <c r="VIR43" s="155"/>
      <c r="VIS43" s="155"/>
      <c r="VIT43" s="155"/>
      <c r="VIU43" s="155"/>
      <c r="VIV43" s="155"/>
      <c r="VIW43" s="155"/>
      <c r="VIX43" s="155"/>
      <c r="VIY43" s="155"/>
      <c r="VIZ43" s="155"/>
      <c r="VJA43" s="155"/>
      <c r="VJB43" s="155"/>
      <c r="VJC43" s="155"/>
      <c r="VJD43" s="155"/>
      <c r="VJE43" s="155"/>
      <c r="VJF43" s="155"/>
      <c r="VJG43" s="155"/>
      <c r="VJH43" s="155"/>
      <c r="VJI43" s="155"/>
      <c r="VJJ43" s="155"/>
      <c r="VJK43" s="155"/>
      <c r="VJL43" s="155"/>
      <c r="VJM43" s="155"/>
      <c r="VJN43" s="155"/>
      <c r="VJO43" s="155"/>
      <c r="VJP43" s="155"/>
      <c r="VJQ43" s="155"/>
      <c r="VJR43" s="155"/>
      <c r="VJS43" s="155"/>
      <c r="VJT43" s="155"/>
      <c r="VJU43" s="155"/>
      <c r="VJV43" s="155"/>
      <c r="VJW43" s="155"/>
      <c r="VJX43" s="155"/>
      <c r="VJY43" s="155"/>
      <c r="VJZ43" s="155"/>
      <c r="VKA43" s="155"/>
      <c r="VKB43" s="155"/>
      <c r="VKC43" s="155"/>
      <c r="VKD43" s="155"/>
      <c r="VKE43" s="155"/>
      <c r="VKF43" s="155"/>
      <c r="VKG43" s="155"/>
      <c r="VKH43" s="155"/>
      <c r="VKI43" s="155"/>
      <c r="VKJ43" s="155"/>
      <c r="VKK43" s="155"/>
      <c r="VKL43" s="155"/>
      <c r="VKM43" s="155"/>
      <c r="VKN43" s="155"/>
      <c r="VKO43" s="155"/>
      <c r="VKP43" s="155"/>
      <c r="VKQ43" s="155"/>
      <c r="VKR43" s="155"/>
      <c r="VKS43" s="155"/>
      <c r="VKT43" s="155"/>
      <c r="VKU43" s="155"/>
      <c r="VKV43" s="155"/>
      <c r="VKW43" s="155"/>
      <c r="VKX43" s="155"/>
      <c r="VKY43" s="155"/>
      <c r="VKZ43" s="155"/>
      <c r="VLA43" s="155"/>
      <c r="VLB43" s="155"/>
      <c r="VLC43" s="155"/>
      <c r="VLD43" s="155"/>
      <c r="VLE43" s="155"/>
      <c r="VLF43" s="155"/>
      <c r="VLG43" s="155"/>
      <c r="VLH43" s="155"/>
      <c r="VLI43" s="155"/>
      <c r="VLJ43" s="155"/>
      <c r="VLK43" s="155"/>
      <c r="VLL43" s="155"/>
      <c r="VLM43" s="155"/>
      <c r="VLN43" s="155"/>
      <c r="VLO43" s="155"/>
      <c r="VLP43" s="155"/>
      <c r="VLQ43" s="155"/>
      <c r="VLR43" s="155"/>
      <c r="VLS43" s="155"/>
      <c r="VLT43" s="155"/>
      <c r="VLU43" s="155"/>
      <c r="VLV43" s="155"/>
      <c r="VLW43" s="155"/>
      <c r="VLX43" s="155"/>
      <c r="VLY43" s="155"/>
      <c r="VLZ43" s="155"/>
      <c r="VMA43" s="155"/>
      <c r="VMB43" s="155"/>
      <c r="VMC43" s="155"/>
      <c r="VMD43" s="155"/>
      <c r="VME43" s="155"/>
      <c r="VMF43" s="155"/>
      <c r="VMG43" s="155"/>
      <c r="VMH43" s="155"/>
      <c r="VMI43" s="155"/>
      <c r="VMJ43" s="155"/>
      <c r="VMK43" s="155"/>
      <c r="VML43" s="155"/>
      <c r="VMM43" s="155"/>
      <c r="VMN43" s="155"/>
      <c r="VMO43" s="155"/>
      <c r="VMP43" s="155"/>
      <c r="VMQ43" s="155"/>
      <c r="VMR43" s="155"/>
      <c r="VMS43" s="155"/>
      <c r="VMT43" s="155"/>
      <c r="VMU43" s="155"/>
      <c r="VMV43" s="155"/>
      <c r="VMW43" s="155"/>
      <c r="VMX43" s="155"/>
      <c r="VMY43" s="155"/>
      <c r="VMZ43" s="155"/>
      <c r="VNA43" s="155"/>
      <c r="VNB43" s="155"/>
      <c r="VNC43" s="155"/>
      <c r="VND43" s="155"/>
      <c r="VNE43" s="155"/>
      <c r="VNF43" s="155"/>
      <c r="VNG43" s="155"/>
      <c r="VNH43" s="155"/>
      <c r="VNI43" s="155"/>
      <c r="VNJ43" s="155"/>
      <c r="VNK43" s="155"/>
      <c r="VNL43" s="155"/>
      <c r="VNM43" s="155"/>
      <c r="VNN43" s="155"/>
      <c r="VNO43" s="155"/>
      <c r="VNP43" s="155"/>
      <c r="VNQ43" s="155"/>
      <c r="VNR43" s="155"/>
      <c r="VNS43" s="155"/>
      <c r="VNT43" s="155"/>
      <c r="VNU43" s="155"/>
      <c r="VNV43" s="155"/>
      <c r="VNW43" s="155"/>
      <c r="VNX43" s="155"/>
      <c r="VNY43" s="155"/>
      <c r="VNZ43" s="155"/>
      <c r="VOA43" s="155"/>
      <c r="VOB43" s="155"/>
      <c r="VOC43" s="155"/>
      <c r="VOD43" s="155"/>
      <c r="VOE43" s="155"/>
      <c r="VOF43" s="155"/>
      <c r="VOG43" s="155"/>
      <c r="VOH43" s="155"/>
      <c r="VOI43" s="155"/>
      <c r="VOJ43" s="155"/>
      <c r="VOK43" s="155"/>
      <c r="VOL43" s="155"/>
      <c r="VOM43" s="155"/>
      <c r="VON43" s="155"/>
      <c r="VOO43" s="155"/>
      <c r="VOP43" s="155"/>
      <c r="VOQ43" s="155"/>
      <c r="VOR43" s="155"/>
      <c r="VOS43" s="155"/>
      <c r="VOT43" s="155"/>
      <c r="VOU43" s="155"/>
      <c r="VOV43" s="155"/>
      <c r="VOW43" s="155"/>
      <c r="VOX43" s="155"/>
      <c r="VOY43" s="155"/>
      <c r="VOZ43" s="155"/>
      <c r="VPA43" s="155"/>
      <c r="VPB43" s="155"/>
      <c r="VPC43" s="155"/>
      <c r="VPD43" s="155"/>
      <c r="VPE43" s="155"/>
      <c r="VPF43" s="155"/>
      <c r="VPG43" s="155"/>
      <c r="VPH43" s="155"/>
      <c r="VPI43" s="155"/>
      <c r="VPJ43" s="155"/>
      <c r="VPK43" s="155"/>
      <c r="VPL43" s="155"/>
      <c r="VPM43" s="155"/>
      <c r="VPN43" s="155"/>
      <c r="VPO43" s="155"/>
      <c r="VPP43" s="155"/>
      <c r="VPQ43" s="155"/>
      <c r="VPR43" s="155"/>
      <c r="VPS43" s="155"/>
      <c r="VPT43" s="155"/>
      <c r="VPU43" s="155"/>
      <c r="VPV43" s="155"/>
      <c r="VPW43" s="155"/>
      <c r="VPX43" s="155"/>
      <c r="VPY43" s="155"/>
      <c r="VPZ43" s="155"/>
      <c r="VQA43" s="155"/>
      <c r="VQB43" s="155"/>
      <c r="VQC43" s="155"/>
      <c r="VQD43" s="155"/>
      <c r="VQE43" s="155"/>
      <c r="VQF43" s="155"/>
      <c r="VQG43" s="155"/>
      <c r="VQH43" s="155"/>
      <c r="VQI43" s="155"/>
      <c r="VQJ43" s="155"/>
      <c r="VQK43" s="155"/>
      <c r="VQL43" s="155"/>
      <c r="VQM43" s="155"/>
      <c r="VQN43" s="155"/>
      <c r="VQO43" s="155"/>
      <c r="VQP43" s="155"/>
      <c r="VQQ43" s="155"/>
      <c r="VQR43" s="155"/>
      <c r="VQS43" s="155"/>
      <c r="VQT43" s="155"/>
      <c r="VQU43" s="155"/>
      <c r="VQV43" s="155"/>
      <c r="VQW43" s="155"/>
      <c r="VQX43" s="155"/>
      <c r="VQY43" s="155"/>
      <c r="VQZ43" s="155"/>
      <c r="VRA43" s="155"/>
      <c r="VRB43" s="155"/>
      <c r="VRC43" s="155"/>
      <c r="VRD43" s="155"/>
      <c r="VRE43" s="155"/>
      <c r="VRF43" s="155"/>
      <c r="VRG43" s="155"/>
      <c r="VRH43" s="155"/>
      <c r="VRI43" s="155"/>
      <c r="VRJ43" s="155"/>
      <c r="VRK43" s="155"/>
      <c r="VRL43" s="155"/>
      <c r="VRM43" s="155"/>
      <c r="VRN43" s="155"/>
      <c r="VRO43" s="155"/>
      <c r="VRP43" s="155"/>
      <c r="VRQ43" s="155"/>
      <c r="VRR43" s="155"/>
      <c r="VRS43" s="155"/>
      <c r="VRT43" s="155"/>
      <c r="VRU43" s="155"/>
      <c r="VRV43" s="155"/>
      <c r="VRW43" s="155"/>
      <c r="VRX43" s="155"/>
      <c r="VRY43" s="155"/>
      <c r="VRZ43" s="155"/>
      <c r="VSA43" s="155"/>
      <c r="VSB43" s="155"/>
      <c r="VSC43" s="155"/>
      <c r="VSD43" s="155"/>
      <c r="VSE43" s="155"/>
      <c r="VSF43" s="155"/>
      <c r="VSG43" s="155"/>
      <c r="VSH43" s="155"/>
      <c r="VSI43" s="155"/>
      <c r="VSJ43" s="155"/>
      <c r="VSK43" s="155"/>
      <c r="VSL43" s="155"/>
      <c r="VSM43" s="155"/>
      <c r="VSN43" s="155"/>
      <c r="VSO43" s="155"/>
      <c r="VSP43" s="155"/>
      <c r="VSQ43" s="155"/>
      <c r="VSR43" s="155"/>
      <c r="VSS43" s="155"/>
      <c r="VST43" s="155"/>
      <c r="VSU43" s="155"/>
      <c r="VSV43" s="155"/>
      <c r="VSW43" s="155"/>
      <c r="VSX43" s="155"/>
      <c r="VSY43" s="155"/>
      <c r="VSZ43" s="155"/>
      <c r="VTA43" s="155"/>
      <c r="VTB43" s="155"/>
      <c r="VTC43" s="155"/>
      <c r="VTD43" s="155"/>
      <c r="VTE43" s="155"/>
      <c r="VTF43" s="155"/>
      <c r="VTG43" s="155"/>
      <c r="VTH43" s="155"/>
      <c r="VTI43" s="155"/>
      <c r="VTJ43" s="155"/>
      <c r="VTK43" s="155"/>
      <c r="VTL43" s="155"/>
      <c r="VTM43" s="155"/>
      <c r="VTN43" s="155"/>
      <c r="VTO43" s="155"/>
      <c r="VTP43" s="155"/>
      <c r="VTQ43" s="155"/>
      <c r="VTR43" s="155"/>
      <c r="VTS43" s="155"/>
      <c r="VTT43" s="155"/>
      <c r="VTU43" s="155"/>
      <c r="VTV43" s="155"/>
      <c r="VTW43" s="155"/>
      <c r="VTX43" s="155"/>
      <c r="VTY43" s="155"/>
      <c r="VTZ43" s="155"/>
      <c r="VUA43" s="155"/>
      <c r="VUB43" s="155"/>
      <c r="VUC43" s="155"/>
      <c r="VUD43" s="155"/>
      <c r="VUE43" s="155"/>
      <c r="VUF43" s="155"/>
      <c r="VUG43" s="155"/>
      <c r="VUH43" s="155"/>
      <c r="VUI43" s="155"/>
      <c r="VUJ43" s="155"/>
      <c r="VUK43" s="155"/>
      <c r="VUL43" s="155"/>
      <c r="VUM43" s="155"/>
      <c r="VUN43" s="155"/>
      <c r="VUO43" s="155"/>
      <c r="VUP43" s="155"/>
      <c r="VUQ43" s="155"/>
      <c r="VUR43" s="155"/>
      <c r="VUS43" s="155"/>
      <c r="VUT43" s="155"/>
      <c r="VUU43" s="155"/>
      <c r="VUV43" s="155"/>
      <c r="VUW43" s="155"/>
      <c r="VUX43" s="155"/>
      <c r="VUY43" s="155"/>
      <c r="VUZ43" s="155"/>
      <c r="VVA43" s="155"/>
      <c r="VVB43" s="155"/>
      <c r="VVC43" s="155"/>
      <c r="VVD43" s="155"/>
      <c r="VVE43" s="155"/>
      <c r="VVF43" s="155"/>
      <c r="VVG43" s="155"/>
      <c r="VVH43" s="155"/>
      <c r="VVI43" s="155"/>
      <c r="VVJ43" s="155"/>
      <c r="VVK43" s="155"/>
      <c r="VVL43" s="155"/>
      <c r="VVM43" s="155"/>
      <c r="VVN43" s="155"/>
      <c r="VVO43" s="155"/>
      <c r="VVP43" s="155"/>
      <c r="VVQ43" s="155"/>
      <c r="VVR43" s="155"/>
      <c r="VVS43" s="155"/>
      <c r="VVT43" s="155"/>
      <c r="VVU43" s="155"/>
      <c r="VVV43" s="155"/>
      <c r="VVW43" s="155"/>
      <c r="VVX43" s="155"/>
      <c r="VVY43" s="155"/>
      <c r="VVZ43" s="155"/>
      <c r="VWA43" s="155"/>
      <c r="VWB43" s="155"/>
      <c r="VWC43" s="155"/>
      <c r="VWD43" s="155"/>
      <c r="VWE43" s="155"/>
      <c r="VWF43" s="155"/>
      <c r="VWG43" s="155"/>
      <c r="VWH43" s="155"/>
      <c r="VWI43" s="155"/>
      <c r="VWJ43" s="155"/>
      <c r="VWK43" s="155"/>
      <c r="VWL43" s="155"/>
      <c r="VWM43" s="155"/>
      <c r="VWN43" s="155"/>
      <c r="VWO43" s="155"/>
      <c r="VWP43" s="155"/>
      <c r="VWQ43" s="155"/>
      <c r="VWR43" s="155"/>
      <c r="VWS43" s="155"/>
      <c r="VWT43" s="155"/>
      <c r="VWU43" s="155"/>
      <c r="VWV43" s="155"/>
      <c r="VWW43" s="155"/>
      <c r="VWX43" s="155"/>
      <c r="VWY43" s="155"/>
      <c r="VWZ43" s="155"/>
      <c r="VXA43" s="155"/>
      <c r="VXB43" s="155"/>
      <c r="VXC43" s="155"/>
      <c r="VXD43" s="155"/>
      <c r="VXE43" s="155"/>
      <c r="VXF43" s="155"/>
      <c r="VXG43" s="155"/>
      <c r="VXH43" s="155"/>
      <c r="VXI43" s="155"/>
      <c r="VXJ43" s="155"/>
      <c r="VXK43" s="155"/>
      <c r="VXL43" s="155"/>
      <c r="VXM43" s="155"/>
      <c r="VXN43" s="155"/>
      <c r="VXO43" s="155"/>
      <c r="VXP43" s="155"/>
      <c r="VXQ43" s="155"/>
      <c r="VXR43" s="155"/>
      <c r="VXS43" s="155"/>
      <c r="VXT43" s="155"/>
      <c r="VXU43" s="155"/>
      <c r="VXV43" s="155"/>
      <c r="VXW43" s="155"/>
      <c r="VXX43" s="155"/>
      <c r="VXY43" s="155"/>
      <c r="VXZ43" s="155"/>
      <c r="VYA43" s="155"/>
      <c r="VYB43" s="155"/>
      <c r="VYC43" s="155"/>
      <c r="VYD43" s="155"/>
      <c r="VYE43" s="155"/>
      <c r="VYF43" s="155"/>
      <c r="VYG43" s="155"/>
      <c r="VYH43" s="155"/>
      <c r="VYI43" s="155"/>
      <c r="VYJ43" s="155"/>
      <c r="VYK43" s="155"/>
      <c r="VYL43" s="155"/>
      <c r="VYM43" s="155"/>
      <c r="VYN43" s="155"/>
      <c r="VYO43" s="155"/>
      <c r="VYP43" s="155"/>
      <c r="VYQ43" s="155"/>
      <c r="VYR43" s="155"/>
      <c r="VYS43" s="155"/>
      <c r="VYT43" s="155"/>
      <c r="VYU43" s="155"/>
      <c r="VYV43" s="155"/>
      <c r="VYW43" s="155"/>
      <c r="VYX43" s="155"/>
      <c r="VYY43" s="155"/>
      <c r="VYZ43" s="155"/>
      <c r="VZA43" s="155"/>
      <c r="VZB43" s="155"/>
      <c r="VZC43" s="155"/>
      <c r="VZD43" s="155"/>
      <c r="VZE43" s="155"/>
      <c r="VZF43" s="155"/>
      <c r="VZG43" s="155"/>
      <c r="VZH43" s="155"/>
      <c r="VZI43" s="155"/>
      <c r="VZJ43" s="155"/>
      <c r="VZK43" s="155"/>
      <c r="VZL43" s="155"/>
      <c r="VZM43" s="155"/>
      <c r="VZN43" s="155"/>
      <c r="VZO43" s="155"/>
      <c r="VZP43" s="155"/>
      <c r="VZQ43" s="155"/>
      <c r="VZR43" s="155"/>
      <c r="VZS43" s="155"/>
      <c r="VZT43" s="155"/>
      <c r="VZU43" s="155"/>
      <c r="VZV43" s="155"/>
      <c r="VZW43" s="155"/>
      <c r="VZX43" s="155"/>
      <c r="VZY43" s="155"/>
      <c r="VZZ43" s="155"/>
      <c r="WAA43" s="155"/>
      <c r="WAB43" s="155"/>
      <c r="WAC43" s="155"/>
      <c r="WAD43" s="155"/>
      <c r="WAE43" s="155"/>
      <c r="WAF43" s="155"/>
      <c r="WAG43" s="155"/>
      <c r="WAH43" s="155"/>
      <c r="WAI43" s="155"/>
      <c r="WAJ43" s="155"/>
      <c r="WAK43" s="155"/>
      <c r="WAL43" s="155"/>
      <c r="WAM43" s="155"/>
      <c r="WAN43" s="155"/>
      <c r="WAO43" s="155"/>
      <c r="WAP43" s="155"/>
      <c r="WAQ43" s="155"/>
      <c r="WAR43" s="155"/>
      <c r="WAS43" s="155"/>
      <c r="WAT43" s="155"/>
      <c r="WAU43" s="155"/>
      <c r="WAV43" s="155"/>
      <c r="WAW43" s="155"/>
      <c r="WAX43" s="155"/>
      <c r="WAY43" s="155"/>
      <c r="WAZ43" s="155"/>
      <c r="WBA43" s="155"/>
      <c r="WBB43" s="155"/>
      <c r="WBC43" s="155"/>
      <c r="WBD43" s="155"/>
      <c r="WBE43" s="155"/>
      <c r="WBF43" s="155"/>
      <c r="WBG43" s="155"/>
      <c r="WBH43" s="155"/>
      <c r="WBI43" s="155"/>
      <c r="WBJ43" s="155"/>
      <c r="WBK43" s="155"/>
      <c r="WBL43" s="155"/>
      <c r="WBM43" s="155"/>
      <c r="WBN43" s="155"/>
      <c r="WBO43" s="155"/>
      <c r="WBP43" s="155"/>
      <c r="WBQ43" s="155"/>
      <c r="WBR43" s="155"/>
      <c r="WBS43" s="155"/>
      <c r="WBT43" s="155"/>
      <c r="WBU43" s="155"/>
      <c r="WBV43" s="155"/>
      <c r="WBW43" s="155"/>
      <c r="WBX43" s="155"/>
      <c r="WBY43" s="155"/>
      <c r="WBZ43" s="155"/>
      <c r="WCA43" s="155"/>
      <c r="WCB43" s="155"/>
      <c r="WCC43" s="155"/>
      <c r="WCD43" s="155"/>
      <c r="WCE43" s="155"/>
      <c r="WCF43" s="155"/>
      <c r="WCG43" s="155"/>
      <c r="WCH43" s="155"/>
      <c r="WCI43" s="155"/>
      <c r="WCJ43" s="155"/>
      <c r="WCK43" s="155"/>
      <c r="WCL43" s="155"/>
      <c r="WCM43" s="155"/>
      <c r="WCN43" s="155"/>
      <c r="WCO43" s="155"/>
      <c r="WCP43" s="155"/>
      <c r="WCQ43" s="155"/>
      <c r="WCR43" s="155"/>
      <c r="WCS43" s="155"/>
      <c r="WCT43" s="155"/>
      <c r="WCU43" s="155"/>
      <c r="WCV43" s="155"/>
      <c r="WCW43" s="155"/>
      <c r="WCX43" s="155"/>
      <c r="WCY43" s="155"/>
      <c r="WCZ43" s="155"/>
      <c r="WDA43" s="155"/>
      <c r="WDB43" s="155"/>
      <c r="WDC43" s="155"/>
      <c r="WDD43" s="155"/>
      <c r="WDE43" s="155"/>
      <c r="WDF43" s="155"/>
      <c r="WDG43" s="155"/>
      <c r="WDH43" s="155"/>
      <c r="WDI43" s="155"/>
      <c r="WDJ43" s="155"/>
      <c r="WDK43" s="155"/>
      <c r="WDL43" s="155"/>
      <c r="WDM43" s="155"/>
      <c r="WDN43" s="155"/>
      <c r="WDO43" s="155"/>
      <c r="WDP43" s="155"/>
      <c r="WDQ43" s="155"/>
      <c r="WDR43" s="155"/>
      <c r="WDS43" s="155"/>
      <c r="WDT43" s="155"/>
      <c r="WDU43" s="155"/>
      <c r="WDV43" s="155"/>
      <c r="WDW43" s="155"/>
      <c r="WDX43" s="155"/>
      <c r="WDY43" s="155"/>
      <c r="WDZ43" s="155"/>
      <c r="WEA43" s="155"/>
      <c r="WEB43" s="155"/>
      <c r="WEC43" s="155"/>
      <c r="WED43" s="155"/>
      <c r="WEE43" s="155"/>
      <c r="WEF43" s="155"/>
      <c r="WEG43" s="155"/>
      <c r="WEH43" s="155"/>
      <c r="WEI43" s="155"/>
      <c r="WEJ43" s="155"/>
      <c r="WEK43" s="155"/>
      <c r="WEL43" s="155"/>
      <c r="WEM43" s="155"/>
      <c r="WEN43" s="155"/>
      <c r="WEO43" s="155"/>
      <c r="WEP43" s="155"/>
      <c r="WEQ43" s="155"/>
      <c r="WER43" s="155"/>
      <c r="WES43" s="155"/>
      <c r="WET43" s="155"/>
      <c r="WEU43" s="155"/>
      <c r="WEV43" s="155"/>
      <c r="WEW43" s="155"/>
      <c r="WEX43" s="155"/>
      <c r="WEY43" s="155"/>
      <c r="WEZ43" s="155"/>
      <c r="WFA43" s="155"/>
      <c r="WFB43" s="155"/>
      <c r="WFC43" s="155"/>
      <c r="WFD43" s="155"/>
      <c r="WFE43" s="155"/>
      <c r="WFF43" s="155"/>
      <c r="WFG43" s="155"/>
      <c r="WFH43" s="155"/>
      <c r="WFI43" s="155"/>
      <c r="WFJ43" s="155"/>
      <c r="WFK43" s="155"/>
      <c r="WFL43" s="155"/>
      <c r="WFM43" s="155"/>
      <c r="WFN43" s="155"/>
      <c r="WFO43" s="155"/>
      <c r="WFP43" s="155"/>
      <c r="WFQ43" s="155"/>
      <c r="WFR43" s="155"/>
      <c r="WFS43" s="155"/>
      <c r="WFT43" s="155"/>
      <c r="WFU43" s="155"/>
      <c r="WFV43" s="155"/>
      <c r="WFW43" s="155"/>
      <c r="WFX43" s="155"/>
      <c r="WFY43" s="155"/>
      <c r="WFZ43" s="155"/>
      <c r="WGA43" s="155"/>
      <c r="WGB43" s="155"/>
      <c r="WGC43" s="155"/>
      <c r="WGD43" s="155"/>
      <c r="WGE43" s="155"/>
      <c r="WGF43" s="155"/>
      <c r="WGG43" s="155"/>
      <c r="WGH43" s="155"/>
      <c r="WGI43" s="155"/>
      <c r="WGJ43" s="155"/>
      <c r="WGK43" s="155"/>
      <c r="WGL43" s="155"/>
      <c r="WGM43" s="155"/>
      <c r="WGN43" s="155"/>
      <c r="WGO43" s="155"/>
      <c r="WGP43" s="155"/>
      <c r="WGQ43" s="155"/>
      <c r="WGR43" s="155"/>
      <c r="WGS43" s="155"/>
      <c r="WGT43" s="155"/>
      <c r="WGU43" s="155"/>
      <c r="WGV43" s="155"/>
      <c r="WGW43" s="155"/>
      <c r="WGX43" s="155"/>
      <c r="WGY43" s="155"/>
      <c r="WGZ43" s="155"/>
      <c r="WHA43" s="155"/>
      <c r="WHB43" s="155"/>
      <c r="WHC43" s="155"/>
      <c r="WHD43" s="155"/>
      <c r="WHE43" s="155"/>
      <c r="WHF43" s="155"/>
      <c r="WHG43" s="155"/>
      <c r="WHH43" s="155"/>
      <c r="WHI43" s="155"/>
      <c r="WHJ43" s="155"/>
      <c r="WHK43" s="155"/>
      <c r="WHL43" s="155"/>
      <c r="WHM43" s="155"/>
      <c r="WHN43" s="155"/>
      <c r="WHO43" s="155"/>
      <c r="WHP43" s="155"/>
      <c r="WHQ43" s="155"/>
      <c r="WHR43" s="155"/>
      <c r="WHS43" s="155"/>
      <c r="WHT43" s="155"/>
      <c r="WHU43" s="155"/>
      <c r="WHV43" s="155"/>
      <c r="WHW43" s="155"/>
      <c r="WHX43" s="155"/>
      <c r="WHY43" s="155"/>
      <c r="WHZ43" s="155"/>
      <c r="WIA43" s="155"/>
      <c r="WIB43" s="155"/>
      <c r="WIC43" s="155"/>
      <c r="WID43" s="155"/>
      <c r="WIE43" s="155"/>
      <c r="WIF43" s="155"/>
      <c r="WIG43" s="155"/>
      <c r="WIH43" s="155"/>
      <c r="WII43" s="155"/>
      <c r="WIJ43" s="155"/>
      <c r="WIK43" s="155"/>
      <c r="WIL43" s="155"/>
      <c r="WIM43" s="155"/>
      <c r="WIN43" s="155"/>
      <c r="WIO43" s="155"/>
      <c r="WIP43" s="155"/>
      <c r="WIQ43" s="155"/>
      <c r="WIR43" s="155"/>
      <c r="WIS43" s="155"/>
      <c r="WIT43" s="155"/>
      <c r="WIU43" s="155"/>
      <c r="WIV43" s="155"/>
      <c r="WIW43" s="155"/>
      <c r="WIX43" s="155"/>
      <c r="WIY43" s="155"/>
      <c r="WIZ43" s="155"/>
      <c r="WJA43" s="155"/>
      <c r="WJB43" s="155"/>
      <c r="WJC43" s="155"/>
      <c r="WJD43" s="155"/>
      <c r="WJE43" s="155"/>
      <c r="WJF43" s="155"/>
      <c r="WJG43" s="155"/>
      <c r="WJH43" s="155"/>
      <c r="WJI43" s="155"/>
      <c r="WJJ43" s="155"/>
      <c r="WJK43" s="155"/>
      <c r="WJL43" s="155"/>
      <c r="WJM43" s="155"/>
      <c r="WJN43" s="155"/>
      <c r="WJO43" s="155"/>
      <c r="WJP43" s="155"/>
      <c r="WJQ43" s="155"/>
      <c r="WJR43" s="155"/>
      <c r="WJS43" s="155"/>
      <c r="WJT43" s="155"/>
      <c r="WJU43" s="155"/>
      <c r="WJV43" s="155"/>
      <c r="WJW43" s="155"/>
      <c r="WJX43" s="155"/>
      <c r="WJY43" s="155"/>
      <c r="WJZ43" s="155"/>
      <c r="WKA43" s="155"/>
      <c r="WKB43" s="155"/>
      <c r="WKC43" s="155"/>
      <c r="WKD43" s="155"/>
      <c r="WKE43" s="155"/>
      <c r="WKF43" s="155"/>
      <c r="WKG43" s="155"/>
      <c r="WKH43" s="155"/>
      <c r="WKI43" s="155"/>
      <c r="WKJ43" s="155"/>
      <c r="WKK43" s="155"/>
      <c r="WKL43" s="155"/>
      <c r="WKM43" s="155"/>
      <c r="WKN43" s="155"/>
      <c r="WKO43" s="155"/>
      <c r="WKP43" s="155"/>
      <c r="WKQ43" s="155"/>
      <c r="WKR43" s="155"/>
      <c r="WKS43" s="155"/>
      <c r="WKT43" s="155"/>
      <c r="WKU43" s="155"/>
      <c r="WKV43" s="155"/>
      <c r="WKW43" s="155"/>
      <c r="WKX43" s="155"/>
      <c r="WKY43" s="155"/>
      <c r="WKZ43" s="155"/>
      <c r="WLA43" s="155"/>
      <c r="WLB43" s="155"/>
      <c r="WLC43" s="155"/>
      <c r="WLD43" s="155"/>
      <c r="WLE43" s="155"/>
      <c r="WLF43" s="155"/>
      <c r="WLG43" s="155"/>
      <c r="WLH43" s="155"/>
      <c r="WLI43" s="155"/>
      <c r="WLJ43" s="155"/>
      <c r="WLK43" s="155"/>
      <c r="WLL43" s="155"/>
      <c r="WLM43" s="155"/>
      <c r="WLN43" s="155"/>
      <c r="WLO43" s="155"/>
      <c r="WLP43" s="155"/>
      <c r="WLQ43" s="155"/>
      <c r="WLR43" s="155"/>
      <c r="WLS43" s="155"/>
      <c r="WLT43" s="155"/>
      <c r="WLU43" s="155"/>
      <c r="WLV43" s="155"/>
      <c r="WLW43" s="155"/>
      <c r="WLX43" s="155"/>
      <c r="WLY43" s="155"/>
      <c r="WLZ43" s="155"/>
      <c r="WMA43" s="155"/>
      <c r="WMB43" s="155"/>
      <c r="WMC43" s="155"/>
      <c r="WMD43" s="155"/>
      <c r="WME43" s="155"/>
      <c r="WMF43" s="155"/>
      <c r="WMG43" s="155"/>
      <c r="WMH43" s="155"/>
      <c r="WMI43" s="155"/>
      <c r="WMJ43" s="155"/>
      <c r="WMK43" s="155"/>
      <c r="WML43" s="155"/>
      <c r="WMM43" s="155"/>
      <c r="WMN43" s="155"/>
      <c r="WMO43" s="155"/>
      <c r="WMP43" s="155"/>
      <c r="WMQ43" s="155"/>
      <c r="WMR43" s="155"/>
      <c r="WMS43" s="155"/>
      <c r="WMT43" s="155"/>
      <c r="WMU43" s="155"/>
      <c r="WMV43" s="155"/>
      <c r="WMW43" s="155"/>
      <c r="WMX43" s="155"/>
      <c r="WMY43" s="155"/>
      <c r="WMZ43" s="155"/>
      <c r="WNA43" s="155"/>
      <c r="WNB43" s="155"/>
      <c r="WNC43" s="155"/>
      <c r="WND43" s="155"/>
      <c r="WNE43" s="155"/>
      <c r="WNF43" s="155"/>
      <c r="WNG43" s="155"/>
      <c r="WNH43" s="155"/>
      <c r="WNI43" s="155"/>
      <c r="WNJ43" s="155"/>
      <c r="WNK43" s="155"/>
      <c r="WNL43" s="155"/>
      <c r="WNM43" s="155"/>
      <c r="WNN43" s="155"/>
      <c r="WNO43" s="155"/>
      <c r="WNP43" s="155"/>
      <c r="WNQ43" s="155"/>
      <c r="WNR43" s="155"/>
      <c r="WNS43" s="155"/>
      <c r="WNT43" s="155"/>
      <c r="WNU43" s="155"/>
      <c r="WNV43" s="155"/>
      <c r="WNW43" s="155"/>
      <c r="WNX43" s="155"/>
      <c r="WNY43" s="155"/>
      <c r="WNZ43" s="155"/>
      <c r="WOA43" s="155"/>
      <c r="WOB43" s="155"/>
      <c r="WOC43" s="155"/>
      <c r="WOD43" s="155"/>
      <c r="WOE43" s="155"/>
      <c r="WOF43" s="155"/>
      <c r="WOG43" s="155"/>
      <c r="WOH43" s="155"/>
      <c r="WOI43" s="155"/>
      <c r="WOJ43" s="155"/>
      <c r="WOK43" s="155"/>
      <c r="WOL43" s="155"/>
      <c r="WOM43" s="155"/>
      <c r="WON43" s="155"/>
      <c r="WOO43" s="155"/>
      <c r="WOP43" s="155"/>
      <c r="WOQ43" s="155"/>
      <c r="WOR43" s="155"/>
      <c r="WOS43" s="155"/>
      <c r="WOT43" s="155"/>
      <c r="WOU43" s="155"/>
      <c r="WOV43" s="155"/>
      <c r="WOW43" s="155"/>
      <c r="WOX43" s="155"/>
      <c r="WOY43" s="155"/>
      <c r="WOZ43" s="155"/>
      <c r="WPA43" s="155"/>
      <c r="WPB43" s="155"/>
      <c r="WPC43" s="155"/>
      <c r="WPD43" s="155"/>
      <c r="WPE43" s="155"/>
      <c r="WPF43" s="155"/>
      <c r="WPG43" s="155"/>
      <c r="WPH43" s="155"/>
      <c r="WPI43" s="155"/>
      <c r="WPJ43" s="155"/>
      <c r="WPK43" s="155"/>
      <c r="WPL43" s="155"/>
      <c r="WPM43" s="155"/>
      <c r="WPN43" s="155"/>
      <c r="WPO43" s="155"/>
      <c r="WPP43" s="155"/>
      <c r="WPQ43" s="155"/>
      <c r="WPR43" s="155"/>
      <c r="WPS43" s="155"/>
      <c r="WPT43" s="155"/>
      <c r="WPU43" s="155"/>
      <c r="WPV43" s="155"/>
      <c r="WPW43" s="155"/>
      <c r="WPX43" s="155"/>
      <c r="WPY43" s="155"/>
      <c r="WPZ43" s="155"/>
      <c r="WQA43" s="155"/>
      <c r="WQB43" s="155"/>
      <c r="WQC43" s="155"/>
      <c r="WQD43" s="155"/>
      <c r="WQE43" s="155"/>
      <c r="WQF43" s="155"/>
      <c r="WQG43" s="155"/>
      <c r="WQH43" s="155"/>
      <c r="WQI43" s="155"/>
      <c r="WQJ43" s="155"/>
      <c r="WQK43" s="155"/>
      <c r="WQL43" s="155"/>
      <c r="WQM43" s="155"/>
      <c r="WQN43" s="155"/>
      <c r="WQO43" s="155"/>
      <c r="WQP43" s="155"/>
      <c r="WQQ43" s="155"/>
      <c r="WQR43" s="155"/>
      <c r="WQS43" s="155"/>
      <c r="WQT43" s="155"/>
      <c r="WQU43" s="155"/>
      <c r="WQV43" s="155"/>
      <c r="WQW43" s="155"/>
      <c r="WQX43" s="155"/>
      <c r="WQY43" s="155"/>
      <c r="WQZ43" s="155"/>
      <c r="WRA43" s="155"/>
      <c r="WRB43" s="155"/>
      <c r="WRC43" s="155"/>
      <c r="WRD43" s="155"/>
      <c r="WRE43" s="155"/>
      <c r="WRF43" s="155"/>
      <c r="WRG43" s="155"/>
      <c r="WRH43" s="155"/>
      <c r="WRI43" s="155"/>
      <c r="WRJ43" s="155"/>
      <c r="WRK43" s="155"/>
      <c r="WRL43" s="155"/>
      <c r="WRM43" s="155"/>
      <c r="WRN43" s="155"/>
      <c r="WRO43" s="155"/>
      <c r="WRP43" s="155"/>
      <c r="WRQ43" s="155"/>
      <c r="WRR43" s="155"/>
      <c r="WRS43" s="155"/>
      <c r="WRT43" s="155"/>
      <c r="WRU43" s="155"/>
      <c r="WRV43" s="155"/>
      <c r="WRW43" s="155"/>
      <c r="WRX43" s="155"/>
      <c r="WRY43" s="155"/>
      <c r="WRZ43" s="155"/>
      <c r="WSA43" s="155"/>
      <c r="WSB43" s="155"/>
      <c r="WSC43" s="155"/>
      <c r="WSD43" s="155"/>
      <c r="WSE43" s="155"/>
      <c r="WSF43" s="155"/>
      <c r="WSG43" s="155"/>
      <c r="WSH43" s="155"/>
      <c r="WSI43" s="155"/>
      <c r="WSJ43" s="155"/>
      <c r="WSK43" s="155"/>
      <c r="WSL43" s="155"/>
      <c r="WSM43" s="155"/>
      <c r="WSN43" s="155"/>
      <c r="WSO43" s="155"/>
      <c r="WSP43" s="155"/>
      <c r="WSQ43" s="155"/>
      <c r="WSR43" s="155"/>
      <c r="WSS43" s="155"/>
      <c r="WST43" s="155"/>
      <c r="WSU43" s="155"/>
      <c r="WSV43" s="155"/>
      <c r="WSW43" s="155"/>
      <c r="WSX43" s="155"/>
      <c r="WSY43" s="155"/>
      <c r="WSZ43" s="155"/>
      <c r="WTA43" s="155"/>
      <c r="WTB43" s="155"/>
      <c r="WTC43" s="155"/>
      <c r="WTD43" s="155"/>
      <c r="WTE43" s="155"/>
      <c r="WTF43" s="155"/>
      <c r="WTG43" s="155"/>
      <c r="WTH43" s="155"/>
      <c r="WTI43" s="155"/>
      <c r="WTJ43" s="155"/>
      <c r="WTK43" s="155"/>
      <c r="WTL43" s="155"/>
      <c r="WTM43" s="155"/>
      <c r="WTN43" s="155"/>
      <c r="WTO43" s="155"/>
      <c r="WTP43" s="155"/>
      <c r="WTQ43" s="155"/>
      <c r="WTR43" s="155"/>
      <c r="WTS43" s="155"/>
      <c r="WTT43" s="155"/>
      <c r="WTU43" s="155"/>
      <c r="WTV43" s="155"/>
      <c r="WTW43" s="155"/>
      <c r="WTX43" s="155"/>
      <c r="WTY43" s="155"/>
      <c r="WTZ43" s="155"/>
      <c r="WUA43" s="155"/>
      <c r="WUB43" s="155"/>
      <c r="WUC43" s="155"/>
      <c r="WUD43" s="155"/>
      <c r="WUE43" s="155"/>
      <c r="WUF43" s="155"/>
      <c r="WUG43" s="155"/>
      <c r="WUH43" s="155"/>
      <c r="WUI43" s="155"/>
      <c r="WUJ43" s="155"/>
      <c r="WUK43" s="155"/>
      <c r="WUL43" s="155"/>
      <c r="WUM43" s="155"/>
      <c r="WUN43" s="155"/>
      <c r="WUO43" s="155"/>
      <c r="WUP43" s="155"/>
      <c r="WUQ43" s="155"/>
      <c r="WUR43" s="155"/>
      <c r="WUS43" s="155"/>
      <c r="WUT43" s="155"/>
      <c r="WUU43" s="155"/>
      <c r="WUV43" s="155"/>
      <c r="WUW43" s="155"/>
      <c r="WUX43" s="155"/>
      <c r="WUY43" s="155"/>
      <c r="WUZ43" s="155"/>
      <c r="WVA43" s="155"/>
      <c r="WVB43" s="155"/>
      <c r="WVC43" s="155"/>
      <c r="WVD43" s="155"/>
      <c r="WVE43" s="155"/>
      <c r="WVF43" s="155"/>
      <c r="WVG43" s="155"/>
      <c r="WVH43" s="155"/>
      <c r="WVI43" s="155"/>
      <c r="WVJ43" s="155"/>
      <c r="WVK43" s="155"/>
      <c r="WVL43" s="155"/>
      <c r="WVM43" s="155"/>
      <c r="WVN43" s="155"/>
      <c r="WVO43" s="155"/>
      <c r="WVP43" s="155"/>
      <c r="WVQ43" s="155"/>
      <c r="WVR43" s="155"/>
      <c r="WVS43" s="155"/>
      <c r="WVT43" s="155"/>
      <c r="WVU43" s="155"/>
      <c r="WVV43" s="155"/>
      <c r="WVW43" s="155"/>
      <c r="WVX43" s="155"/>
      <c r="WVY43" s="155"/>
      <c r="WVZ43" s="155"/>
      <c r="WWA43" s="155"/>
      <c r="WWB43" s="155"/>
      <c r="WWC43" s="155"/>
      <c r="WWD43" s="155"/>
      <c r="WWE43" s="155"/>
      <c r="WWF43" s="155"/>
      <c r="WWG43" s="155"/>
      <c r="WWH43" s="155"/>
      <c r="WWI43" s="155"/>
      <c r="WWJ43" s="155"/>
      <c r="WWK43" s="155"/>
      <c r="WWL43" s="155"/>
      <c r="WWM43" s="155"/>
      <c r="WWN43" s="155"/>
      <c r="WWO43" s="155"/>
      <c r="WWP43" s="155"/>
      <c r="WWQ43" s="155"/>
      <c r="WWR43" s="155"/>
      <c r="WWS43" s="155"/>
      <c r="WWT43" s="155"/>
      <c r="WWU43" s="155"/>
      <c r="WWV43" s="155"/>
      <c r="WWW43" s="155"/>
      <c r="WWX43" s="155"/>
      <c r="WWY43" s="155"/>
      <c r="WWZ43" s="155"/>
      <c r="WXA43" s="155"/>
      <c r="WXB43" s="155"/>
      <c r="WXC43" s="155"/>
      <c r="WXD43" s="155"/>
      <c r="WXE43" s="155"/>
      <c r="WXF43" s="155"/>
      <c r="WXG43" s="155"/>
      <c r="WXH43" s="155"/>
      <c r="WXI43" s="155"/>
      <c r="WXJ43" s="155"/>
      <c r="WXK43" s="155"/>
      <c r="WXL43" s="155"/>
      <c r="WXM43" s="155"/>
      <c r="WXN43" s="155"/>
      <c r="WXO43" s="155"/>
      <c r="WXP43" s="155"/>
      <c r="WXQ43" s="155"/>
      <c r="WXR43" s="155"/>
      <c r="WXS43" s="155"/>
      <c r="WXT43" s="155"/>
      <c r="WXU43" s="155"/>
      <c r="WXV43" s="155"/>
      <c r="WXW43" s="155"/>
      <c r="WXX43" s="155"/>
      <c r="WXY43" s="155"/>
      <c r="WXZ43" s="155"/>
      <c r="WYA43" s="155"/>
      <c r="WYB43" s="155"/>
      <c r="WYC43" s="155"/>
      <c r="WYD43" s="155"/>
      <c r="WYE43" s="155"/>
      <c r="WYF43" s="155"/>
      <c r="WYG43" s="155"/>
      <c r="WYH43" s="155"/>
      <c r="WYI43" s="155"/>
      <c r="WYJ43" s="155"/>
      <c r="WYK43" s="155"/>
      <c r="WYL43" s="155"/>
      <c r="WYM43" s="155"/>
      <c r="WYN43" s="155"/>
      <c r="WYO43" s="155"/>
      <c r="WYP43" s="155"/>
      <c r="WYQ43" s="155"/>
      <c r="WYR43" s="155"/>
      <c r="WYS43" s="155"/>
      <c r="WYT43" s="155"/>
      <c r="WYU43" s="155"/>
      <c r="WYV43" s="155"/>
      <c r="WYW43" s="155"/>
      <c r="WYX43" s="155"/>
      <c r="WYY43" s="155"/>
      <c r="WYZ43" s="155"/>
      <c r="WZA43" s="155"/>
      <c r="WZB43" s="155"/>
      <c r="WZC43" s="155"/>
      <c r="WZD43" s="155"/>
      <c r="WZE43" s="155"/>
      <c r="WZF43" s="155"/>
      <c r="WZG43" s="155"/>
      <c r="WZH43" s="155"/>
      <c r="WZI43" s="155"/>
      <c r="WZJ43" s="155"/>
      <c r="WZK43" s="155"/>
      <c r="WZL43" s="155"/>
      <c r="WZM43" s="155"/>
      <c r="WZN43" s="155"/>
      <c r="WZO43" s="155"/>
      <c r="WZP43" s="155"/>
      <c r="WZQ43" s="155"/>
      <c r="WZR43" s="155"/>
      <c r="WZS43" s="155"/>
      <c r="WZT43" s="155"/>
      <c r="WZU43" s="155"/>
      <c r="WZV43" s="155"/>
      <c r="WZW43" s="155"/>
      <c r="WZX43" s="155"/>
      <c r="WZY43" s="155"/>
      <c r="WZZ43" s="155"/>
      <c r="XAA43" s="155"/>
      <c r="XAB43" s="155"/>
      <c r="XAC43" s="155"/>
      <c r="XAD43" s="155"/>
      <c r="XAE43" s="155"/>
      <c r="XAF43" s="155"/>
      <c r="XAG43" s="155"/>
      <c r="XAH43" s="155"/>
      <c r="XAI43" s="155"/>
      <c r="XAJ43" s="155"/>
      <c r="XAK43" s="155"/>
      <c r="XAL43" s="155"/>
      <c r="XAM43" s="155"/>
      <c r="XAN43" s="155"/>
      <c r="XAO43" s="155"/>
      <c r="XAP43" s="155"/>
      <c r="XAQ43" s="155"/>
      <c r="XAR43" s="155"/>
      <c r="XAS43" s="155"/>
      <c r="XAT43" s="155"/>
      <c r="XAU43" s="155"/>
      <c r="XAV43" s="155"/>
      <c r="XAW43" s="155"/>
      <c r="XAX43" s="155"/>
      <c r="XAY43" s="155"/>
      <c r="XAZ43" s="155"/>
      <c r="XBA43" s="155"/>
      <c r="XBB43" s="155"/>
      <c r="XBC43" s="155"/>
      <c r="XBD43" s="155"/>
      <c r="XBE43" s="155"/>
      <c r="XBF43" s="155"/>
      <c r="XBG43" s="155"/>
      <c r="XBH43" s="155"/>
      <c r="XBI43" s="155"/>
      <c r="XBJ43" s="155"/>
      <c r="XBK43" s="155"/>
      <c r="XBL43" s="155"/>
      <c r="XBM43" s="155"/>
      <c r="XBN43" s="155"/>
      <c r="XBO43" s="155"/>
      <c r="XBP43" s="155"/>
      <c r="XBQ43" s="155"/>
      <c r="XBR43" s="155"/>
      <c r="XBS43" s="155"/>
      <c r="XBT43" s="155"/>
      <c r="XBU43" s="155"/>
      <c r="XBV43" s="155"/>
      <c r="XBW43" s="155"/>
      <c r="XBX43" s="155"/>
      <c r="XBY43" s="155"/>
      <c r="XBZ43" s="155"/>
      <c r="XCA43" s="155"/>
      <c r="XCB43" s="155"/>
      <c r="XCC43" s="155"/>
      <c r="XCD43" s="155"/>
      <c r="XCE43" s="155"/>
      <c r="XCF43" s="155"/>
      <c r="XCG43" s="155"/>
      <c r="XCH43" s="155"/>
      <c r="XCI43" s="155"/>
      <c r="XCJ43" s="155"/>
      <c r="XCK43" s="155"/>
      <c r="XCL43" s="155"/>
      <c r="XCM43" s="155"/>
      <c r="XCN43" s="155"/>
      <c r="XCO43" s="155"/>
      <c r="XCP43" s="155"/>
      <c r="XCQ43" s="155"/>
      <c r="XCR43" s="155"/>
      <c r="XCS43" s="155"/>
      <c r="XCT43" s="155"/>
      <c r="XCU43" s="155"/>
      <c r="XCV43" s="155"/>
      <c r="XCW43" s="155"/>
      <c r="XCX43" s="155"/>
      <c r="XCY43" s="155"/>
      <c r="XCZ43" s="155"/>
      <c r="XDA43" s="155"/>
      <c r="XDB43" s="155"/>
      <c r="XDC43" s="155"/>
      <c r="XDD43" s="155"/>
      <c r="XDE43" s="155"/>
      <c r="XDF43" s="155"/>
      <c r="XDG43" s="155"/>
      <c r="XDH43" s="155"/>
      <c r="XDI43" s="155"/>
      <c r="XDJ43" s="155"/>
      <c r="XDK43" s="155"/>
      <c r="XDL43" s="155"/>
      <c r="XDM43" s="155"/>
      <c r="XDN43" s="155"/>
      <c r="XDO43" s="155"/>
      <c r="XDP43" s="155"/>
      <c r="XDQ43" s="155"/>
      <c r="XDR43" s="155"/>
      <c r="XDS43" s="155"/>
      <c r="XDT43" s="155"/>
      <c r="XDU43" s="155"/>
      <c r="XDV43" s="155"/>
      <c r="XDW43" s="155"/>
      <c r="XDX43" s="155"/>
      <c r="XDY43" s="155"/>
      <c r="XDZ43" s="155"/>
      <c r="XEA43" s="155"/>
      <c r="XEB43" s="155"/>
      <c r="XEC43" s="155"/>
      <c r="XED43" s="155"/>
      <c r="XEE43" s="155"/>
      <c r="XEF43" s="155"/>
      <c r="XEG43" s="155"/>
      <c r="XEH43" s="155"/>
      <c r="XEI43" s="155"/>
      <c r="XEJ43" s="155"/>
      <c r="XEK43" s="155"/>
      <c r="XEL43" s="155"/>
      <c r="XEM43" s="155"/>
      <c r="XEN43" s="155"/>
      <c r="XEO43" s="155"/>
      <c r="XEP43" s="155"/>
      <c r="XEQ43" s="155"/>
      <c r="XER43" s="155"/>
      <c r="XES43" s="155"/>
      <c r="XET43" s="155"/>
      <c r="XEU43" s="155"/>
      <c r="XEV43" s="155"/>
      <c r="XEW43" s="155"/>
      <c r="XEX43" s="155"/>
      <c r="XEY43" s="155"/>
      <c r="XEZ43" s="155"/>
      <c r="XFA43" s="155"/>
      <c r="XFB43" s="155"/>
      <c r="XFC43" s="155"/>
      <c r="XFD43" s="155"/>
    </row>
    <row r="45" spans="1:16384" x14ac:dyDescent="0.2">
      <c r="A45" s="158" t="s">
        <v>39</v>
      </c>
      <c r="B45" s="158" t="s">
        <v>47</v>
      </c>
    </row>
    <row r="46" spans="1:16384" x14ac:dyDescent="0.2">
      <c r="A46" s="158" t="s">
        <v>40</v>
      </c>
      <c r="B46" s="158" t="s">
        <v>46</v>
      </c>
    </row>
    <row r="47" spans="1:16384" x14ac:dyDescent="0.2">
      <c r="A47" s="158" t="s">
        <v>158</v>
      </c>
      <c r="B47" s="158" t="s">
        <v>162</v>
      </c>
    </row>
    <row r="48" spans="1:16384" x14ac:dyDescent="0.2">
      <c r="A48" s="158" t="s">
        <v>38</v>
      </c>
      <c r="B48" s="158" t="s">
        <v>48</v>
      </c>
    </row>
    <row r="49" spans="1:13" x14ac:dyDescent="0.2">
      <c r="A49" s="158" t="s">
        <v>41</v>
      </c>
      <c r="B49" s="158" t="s">
        <v>49</v>
      </c>
    </row>
    <row r="50" spans="1:13" x14ac:dyDescent="0.2">
      <c r="A50" s="158" t="s">
        <v>42</v>
      </c>
    </row>
    <row r="51" spans="1:13" x14ac:dyDescent="0.2">
      <c r="B51" s="158" t="s">
        <v>15</v>
      </c>
    </row>
    <row r="52" spans="1:13" s="211" customFormat="1" ht="15" x14ac:dyDescent="0.25">
      <c r="A52" s="158"/>
      <c r="B52" s="158" t="s">
        <v>163</v>
      </c>
      <c r="C52" s="158"/>
      <c r="D52" s="158"/>
      <c r="E52" s="158"/>
      <c r="F52" s="158"/>
      <c r="G52" s="158"/>
      <c r="H52" s="158"/>
      <c r="I52" s="158"/>
      <c r="J52" s="158"/>
      <c r="K52" s="158"/>
      <c r="L52" s="158"/>
      <c r="M52" s="158"/>
    </row>
    <row r="53" spans="1:13" x14ac:dyDescent="0.2">
      <c r="A53" s="158" t="s">
        <v>159</v>
      </c>
      <c r="B53" s="158" t="s">
        <v>127</v>
      </c>
    </row>
    <row r="54" spans="1:13" x14ac:dyDescent="0.2">
      <c r="A54" s="158" t="s">
        <v>160</v>
      </c>
      <c r="B54" s="158" t="s">
        <v>171</v>
      </c>
    </row>
    <row r="55" spans="1:13" x14ac:dyDescent="0.2">
      <c r="A55" s="158" t="s">
        <v>161</v>
      </c>
    </row>
    <row r="56" spans="1:13" x14ac:dyDescent="0.2">
      <c r="B56" s="158" t="s">
        <v>43</v>
      </c>
    </row>
    <row r="57" spans="1:13" x14ac:dyDescent="0.2">
      <c r="B57" s="158" t="s">
        <v>44</v>
      </c>
    </row>
    <row r="58" spans="1:13" x14ac:dyDescent="0.2">
      <c r="B58" s="158" t="s">
        <v>50</v>
      </c>
    </row>
    <row r="59" spans="1:13" x14ac:dyDescent="0.2">
      <c r="B59" s="158" t="s">
        <v>45</v>
      </c>
    </row>
    <row r="62" spans="1:13" x14ac:dyDescent="0.2">
      <c r="A62" s="158" t="s">
        <v>21</v>
      </c>
    </row>
    <row r="63" spans="1:13" x14ac:dyDescent="0.2">
      <c r="A63" s="158" t="s">
        <v>131</v>
      </c>
    </row>
    <row r="64" spans="1:13" x14ac:dyDescent="0.2">
      <c r="A64" s="158" t="s">
        <v>132</v>
      </c>
    </row>
    <row r="65" spans="1:1" x14ac:dyDescent="0.2">
      <c r="A65" s="158" t="s">
        <v>22</v>
      </c>
    </row>
    <row r="66" spans="1:1" x14ac:dyDescent="0.2">
      <c r="A66" s="168" t="str">
        <f>""</f>
        <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203167790BB6488A0556DFCA30F306" ma:contentTypeVersion="10" ma:contentTypeDescription="Create a new document." ma:contentTypeScope="" ma:versionID="7dc51d47145d0ba33172ebd94dcb174d">
  <xsd:schema xmlns:xsd="http://www.w3.org/2001/XMLSchema" xmlns:xs="http://www.w3.org/2001/XMLSchema" xmlns:p="http://schemas.microsoft.com/office/2006/metadata/properties" xmlns:ns3="ec3abf45-a832-46ac-ac3f-3ddac75b9aa9" xmlns:ns4="dc2b7d7a-6391-406e-b0dc-0a5e55565654" targetNamespace="http://schemas.microsoft.com/office/2006/metadata/properties" ma:root="true" ma:fieldsID="71a0a5f3f78e23c0b661df6b5e72e489" ns3:_="" ns4:_="">
    <xsd:import namespace="ec3abf45-a832-46ac-ac3f-3ddac75b9aa9"/>
    <xsd:import namespace="dc2b7d7a-6391-406e-b0dc-0a5e5556565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3abf45-a832-46ac-ac3f-3ddac75b9a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2b7d7a-6391-406e-b0dc-0a5e5556565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200B075-ABBE-4344-B584-2C965D072D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3abf45-a832-46ac-ac3f-3ddac75b9aa9"/>
    <ds:schemaRef ds:uri="dc2b7d7a-6391-406e-b0dc-0a5e55565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EC94BF-BB5C-43F9-8D9A-6939773ABC82}">
  <ds:schemaRefs>
    <ds:schemaRef ds:uri="http://schemas.microsoft.com/sharepoint/v3/contenttype/forms"/>
  </ds:schemaRefs>
</ds:datastoreItem>
</file>

<file path=customXml/itemProps3.xml><?xml version="1.0" encoding="utf-8"?>
<ds:datastoreItem xmlns:ds="http://schemas.openxmlformats.org/officeDocument/2006/customXml" ds:itemID="{60D7ADFD-BEED-4D87-912C-6C415D0EB69E}">
  <ds:schemaRefs>
    <ds:schemaRef ds:uri="http://schemas.microsoft.com/office/2006/metadata/properties"/>
    <ds:schemaRef ds:uri="http://schemas.microsoft.com/office/infopath/2007/PartnerControls"/>
    <ds:schemaRef ds:uri="http://purl.org/dc/dcmitype/"/>
    <ds:schemaRef ds:uri="http://www.w3.org/XML/1998/namespace"/>
    <ds:schemaRef ds:uri="http://purl.org/dc/terms/"/>
    <ds:schemaRef ds:uri="http://schemas.microsoft.com/office/2006/documentManagement/types"/>
    <ds:schemaRef ds:uri="http://schemas.openxmlformats.org/package/2006/metadata/core-properties"/>
    <ds:schemaRef ds:uri="ec3abf45-a832-46ac-ac3f-3ddac75b9aa9"/>
    <ds:schemaRef ds:uri="http://purl.org/dc/elements/1.1/"/>
    <ds:schemaRef ds:uri="dc2b7d7a-6391-406e-b0dc-0a5e5556565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71</vt:i4>
      </vt:variant>
    </vt:vector>
  </HeadingPairs>
  <TitlesOfParts>
    <vt:vector size="78" baseType="lpstr">
      <vt:lpstr>Introduction and outcomes</vt:lpstr>
      <vt:lpstr>Checklist</vt:lpstr>
      <vt:lpstr>Dashboard</vt:lpstr>
      <vt:lpstr>Optional - input raw data</vt:lpstr>
      <vt:lpstr>RAG rating data for your school</vt:lpstr>
      <vt:lpstr>RAG rating data for all schools</vt:lpstr>
      <vt:lpstr>Calcs</vt:lpstr>
      <vt:lpstr>A</vt:lpstr>
      <vt:lpstr>APL</vt:lpstr>
      <vt:lpstr>APNL</vt:lpstr>
      <vt:lpstr>ATL</vt:lpstr>
      <vt:lpstr>ATNL</vt:lpstr>
      <vt:lpstr>Average</vt:lpstr>
      <vt:lpstr>Below</vt:lpstr>
      <vt:lpstr>Good</vt:lpstr>
      <vt:lpstr>High</vt:lpstr>
      <vt:lpstr>Higher</vt:lpstr>
      <vt:lpstr>Highest10</vt:lpstr>
      <vt:lpstr>Highest20</vt:lpstr>
      <vt:lpstr>Inadequate</vt:lpstr>
      <vt:lpstr>Inline</vt:lpstr>
      <vt:lpstr>Inline2</vt:lpstr>
      <vt:lpstr>Low</vt:lpstr>
      <vt:lpstr>Lower</vt:lpstr>
      <vt:lpstr>Lowest10</vt:lpstr>
      <vt:lpstr>Lowest20</vt:lpstr>
      <vt:lpstr>Medium</vt:lpstr>
      <vt:lpstr>Middle20</vt:lpstr>
      <vt:lpstr>Muchhigher</vt:lpstr>
      <vt:lpstr>Muchlower</vt:lpstr>
      <vt:lpstr>NL</vt:lpstr>
      <vt:lpstr>NNL</vt:lpstr>
      <vt:lpstr>Outstanding</vt:lpstr>
      <vt:lpstr>PL</vt:lpstr>
      <vt:lpstr>PLH</vt:lpstr>
      <vt:lpstr>PLL</vt:lpstr>
      <vt:lpstr>PLM</vt:lpstr>
      <vt:lpstr>PMH</vt:lpstr>
      <vt:lpstr>PML</vt:lpstr>
      <vt:lpstr>PMM</vt:lpstr>
      <vt:lpstr>PNL</vt:lpstr>
      <vt:lpstr>Checklist!Print_Area</vt:lpstr>
      <vt:lpstr>Dashboard!Print_Area</vt:lpstr>
      <vt:lpstr>'Introduction and outcomes'!Print_Area</vt:lpstr>
      <vt:lpstr>'Optional - input raw data'!Print_Area</vt:lpstr>
      <vt:lpstr>PSH</vt:lpstr>
      <vt:lpstr>PSL</vt:lpstr>
      <vt:lpstr>PSM</vt:lpstr>
      <vt:lpstr>PVSH</vt:lpstr>
      <vt:lpstr>PVSL</vt:lpstr>
      <vt:lpstr>PVSM</vt:lpstr>
      <vt:lpstr>RI</vt:lpstr>
      <vt:lpstr>SL</vt:lpstr>
      <vt:lpstr>SLH</vt:lpstr>
      <vt:lpstr>SLL</vt:lpstr>
      <vt:lpstr>SLM</vt:lpstr>
      <vt:lpstr>SMH</vt:lpstr>
      <vt:lpstr>SML</vt:lpstr>
      <vt:lpstr>SMM</vt:lpstr>
      <vt:lpstr>SNL</vt:lpstr>
      <vt:lpstr>SPL</vt:lpstr>
      <vt:lpstr>SPNL</vt:lpstr>
      <vt:lpstr>SSH</vt:lpstr>
      <vt:lpstr>SSL</vt:lpstr>
      <vt:lpstr>SSLH</vt:lpstr>
      <vt:lpstr>SSLL</vt:lpstr>
      <vt:lpstr>SSLM</vt:lpstr>
      <vt:lpstr>SSLo</vt:lpstr>
      <vt:lpstr>SSM</vt:lpstr>
      <vt:lpstr>SSMH</vt:lpstr>
      <vt:lpstr>SSML</vt:lpstr>
      <vt:lpstr>SSMM</vt:lpstr>
      <vt:lpstr>SSNL</vt:lpstr>
      <vt:lpstr>SSSH</vt:lpstr>
      <vt:lpstr>SSSL</vt:lpstr>
      <vt:lpstr>SSSM</vt:lpstr>
      <vt:lpstr>Wellabove</vt:lpstr>
      <vt:lpstr>Wellbelow</vt:lpstr>
    </vt:vector>
  </TitlesOfParts>
  <Company>DfE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NUNN, Emily</dc:creator>
  <cp:lastModifiedBy>Cath Wadsworth</cp:lastModifiedBy>
  <cp:lastPrinted>2020-01-29T09:21:45Z</cp:lastPrinted>
  <dcterms:created xsi:type="dcterms:W3CDTF">2017-10-02T14:43:37Z</dcterms:created>
  <dcterms:modified xsi:type="dcterms:W3CDTF">2020-02-04T10:27:49Z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0x010100E5203167790BB6488A0556DFCA30F306</vt:lpwstr>
  </property>
</Properties>
</file>